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9E69780A-263C-42E3-ACB7-EF3FFE1883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s 1j" sheetId="35" r:id="rId1"/>
    <sheet name="Kleegras 2j" sheetId="30" r:id="rId2"/>
    <sheet name="Luzerne 2j" sheetId="31" r:id="rId3"/>
    <sheet name="Ackerbohne" sheetId="20" r:id="rId4"/>
    <sheet name="Körnererbse" sheetId="19" r:id="rId5"/>
    <sheet name="Sojabohne" sheetId="21" r:id="rId6"/>
    <sheet name="FutterLupine" sheetId="29" r:id="rId7"/>
    <sheet name="Winterweizen" sheetId="8" r:id="rId8"/>
    <sheet name="Sommerweizen" sheetId="28" r:id="rId9"/>
    <sheet name="(K)-Durum" sheetId="32" r:id="rId10"/>
    <sheet name="Speise-Dinkel" sheetId="13" r:id="rId11"/>
    <sheet name="Triticale" sheetId="14" r:id="rId12"/>
    <sheet name="Winterroggen" sheetId="15" r:id="rId13"/>
    <sheet name="Wintergerste" sheetId="10" r:id="rId14"/>
    <sheet name="Sommergerste" sheetId="11" r:id="rId15"/>
    <sheet name="Speisehafer" sheetId="16" r:id="rId16"/>
    <sheet name="(K) Hirse" sheetId="26" r:id="rId17"/>
    <sheet name="Silomais" sheetId="27" r:id="rId18"/>
    <sheet name="Körnermais" sheetId="17" r:id="rId19"/>
    <sheet name="Zuckerrübe" sheetId="22" r:id="rId20"/>
    <sheet name="Speisekartoffel" sheetId="23" r:id="rId21"/>
    <sheet name="(K) Raps" sheetId="25" r:id="rId22"/>
    <sheet name="Sonnenblume" sheetId="18" r:id="rId23"/>
    <sheet name="(K) Ölkürbis" sheetId="24" r:id="rId24"/>
    <sheet name="Termine HF" sheetId="33" r:id="rId25"/>
    <sheet name="Krankheiten" sheetId="4" r:id="rId26"/>
    <sheet name="ZF" sheetId="5" r:id="rId27"/>
    <sheet name="Stickstoffbedarf" sheetId="7" r:id="rId28"/>
    <sheet name="Modell" sheetId="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5" l="1"/>
  <c r="F20" i="35"/>
  <c r="G20" i="35"/>
  <c r="H20" i="35"/>
  <c r="I20" i="35"/>
  <c r="J20" i="35"/>
  <c r="K20" i="35"/>
  <c r="D20" i="35"/>
  <c r="D14" i="35"/>
  <c r="E14" i="35"/>
  <c r="F14" i="35"/>
  <c r="G14" i="35"/>
  <c r="H14" i="35"/>
  <c r="H15" i="35" s="1"/>
  <c r="I14" i="35"/>
  <c r="J14" i="35"/>
  <c r="J15" i="35" s="1"/>
  <c r="K14" i="35"/>
  <c r="K15" i="35" s="1"/>
  <c r="D11" i="35"/>
  <c r="E15" i="35"/>
  <c r="F15" i="35"/>
  <c r="G15" i="35"/>
  <c r="I15" i="35"/>
  <c r="E11" i="35"/>
  <c r="F11" i="35"/>
  <c r="G11" i="35"/>
  <c r="H11" i="35"/>
  <c r="I11" i="35"/>
  <c r="J11" i="35"/>
  <c r="J12" i="35" s="1"/>
  <c r="K11" i="35"/>
  <c r="H12" i="35"/>
  <c r="D8" i="35"/>
  <c r="E8" i="35"/>
  <c r="F8" i="35"/>
  <c r="G8" i="35"/>
  <c r="H8" i="35"/>
  <c r="H9" i="35" s="1"/>
  <c r="I8" i="35"/>
  <c r="J8" i="35"/>
  <c r="J9" i="35" s="1"/>
  <c r="K8" i="35"/>
  <c r="K9" i="35"/>
  <c r="I12" i="35"/>
  <c r="K12" i="35"/>
  <c r="D9" i="35"/>
  <c r="D20" i="30"/>
  <c r="D21" i="30"/>
  <c r="F9" i="35"/>
  <c r="D15" i="35"/>
  <c r="G12" i="35"/>
  <c r="F12" i="35"/>
  <c r="E12" i="35"/>
  <c r="D12" i="35"/>
  <c r="I9" i="35"/>
  <c r="G9" i="35"/>
  <c r="E9" i="35"/>
  <c r="K6" i="35"/>
  <c r="J6" i="35"/>
  <c r="I6" i="35"/>
  <c r="H6" i="35"/>
  <c r="F6" i="35"/>
  <c r="E6" i="35"/>
  <c r="D6" i="35"/>
  <c r="G6" i="35"/>
  <c r="E14" i="30"/>
  <c r="F14" i="30"/>
  <c r="G14" i="30"/>
  <c r="H14" i="30"/>
  <c r="I14" i="30"/>
  <c r="I15" i="30" s="1"/>
  <c r="J14" i="30"/>
  <c r="K14" i="30"/>
  <c r="D14" i="30"/>
  <c r="D8" i="30"/>
  <c r="E14" i="31"/>
  <c r="F14" i="31"/>
  <c r="G14" i="31"/>
  <c r="H14" i="31"/>
  <c r="I14" i="31"/>
  <c r="J14" i="31"/>
  <c r="J15" i="31" s="1"/>
  <c r="K14" i="31"/>
  <c r="K15" i="31" s="1"/>
  <c r="D14" i="31"/>
  <c r="E11" i="31"/>
  <c r="F11" i="31"/>
  <c r="G11" i="31"/>
  <c r="H11" i="31"/>
  <c r="I11" i="31"/>
  <c r="J11" i="31"/>
  <c r="K11" i="31"/>
  <c r="D11" i="31"/>
  <c r="D9" i="30"/>
  <c r="E9" i="30"/>
  <c r="F9" i="30"/>
  <c r="G9" i="30"/>
  <c r="H9" i="30"/>
  <c r="I9" i="30"/>
  <c r="J9" i="30"/>
  <c r="K9" i="30"/>
  <c r="E12" i="30"/>
  <c r="K15" i="30"/>
  <c r="J15" i="30"/>
  <c r="H15" i="30"/>
  <c r="G15" i="30"/>
  <c r="F15" i="30"/>
  <c r="E15" i="30"/>
  <c r="D15" i="30"/>
  <c r="G12" i="30"/>
  <c r="F12" i="30"/>
  <c r="K12" i="30"/>
  <c r="J12" i="30"/>
  <c r="I12" i="30"/>
  <c r="H12" i="30"/>
  <c r="D12" i="30"/>
  <c r="K12" i="31"/>
  <c r="I15" i="31"/>
  <c r="H15" i="31"/>
  <c r="G15" i="31"/>
  <c r="F15" i="31"/>
  <c r="E15" i="31"/>
  <c r="D15" i="31"/>
  <c r="J12" i="31"/>
  <c r="I12" i="31"/>
  <c r="H12" i="31"/>
  <c r="G12" i="31"/>
  <c r="F12" i="31"/>
  <c r="E12" i="31"/>
  <c r="D12" i="31"/>
  <c r="E14" i="29"/>
  <c r="F14" i="29"/>
  <c r="G14" i="29"/>
  <c r="H14" i="29"/>
  <c r="I14" i="29"/>
  <c r="J14" i="29"/>
  <c r="K14" i="29"/>
  <c r="D14" i="29"/>
  <c r="E11" i="29"/>
  <c r="F11" i="29"/>
  <c r="G11" i="29"/>
  <c r="G12" i="29" s="1"/>
  <c r="H11" i="29"/>
  <c r="I11" i="29"/>
  <c r="J11" i="29"/>
  <c r="J12" i="29" s="1"/>
  <c r="K11" i="29"/>
  <c r="K12" i="29" s="1"/>
  <c r="D11" i="29"/>
  <c r="D22" i="29"/>
  <c r="K15" i="29"/>
  <c r="J15" i="29"/>
  <c r="I15" i="29"/>
  <c r="H15" i="29"/>
  <c r="G15" i="29"/>
  <c r="F15" i="29"/>
  <c r="E15" i="29"/>
  <c r="D15" i="29"/>
  <c r="I12" i="29"/>
  <c r="H12" i="29"/>
  <c r="F12" i="29"/>
  <c r="E12" i="29"/>
  <c r="D12" i="29"/>
  <c r="K15" i="21"/>
  <c r="J15" i="21"/>
  <c r="I15" i="21"/>
  <c r="H15" i="21"/>
  <c r="G15" i="21"/>
  <c r="F15" i="21"/>
  <c r="E15" i="21"/>
  <c r="D15" i="21"/>
  <c r="K12" i="21"/>
  <c r="J12" i="21"/>
  <c r="I12" i="21"/>
  <c r="H12" i="21"/>
  <c r="G12" i="21"/>
  <c r="F12" i="21"/>
  <c r="E12" i="21"/>
  <c r="D12" i="21"/>
  <c r="K15" i="19"/>
  <c r="J15" i="19"/>
  <c r="I15" i="19"/>
  <c r="H15" i="19"/>
  <c r="G15" i="19"/>
  <c r="F15" i="19"/>
  <c r="E15" i="19"/>
  <c r="D15" i="19"/>
  <c r="D17" i="19" s="1"/>
  <c r="D18" i="19" s="1"/>
  <c r="K12" i="19"/>
  <c r="J12" i="19"/>
  <c r="I12" i="19"/>
  <c r="H12" i="19"/>
  <c r="G12" i="19"/>
  <c r="F12" i="19"/>
  <c r="E12" i="19"/>
  <c r="D12" i="19"/>
  <c r="K15" i="20"/>
  <c r="J15" i="20"/>
  <c r="I15" i="20"/>
  <c r="H15" i="20"/>
  <c r="G15" i="20"/>
  <c r="F15" i="20"/>
  <c r="E15" i="20"/>
  <c r="D15" i="20"/>
  <c r="K12" i="20"/>
  <c r="J12" i="20"/>
  <c r="I12" i="20"/>
  <c r="H12" i="20"/>
  <c r="G12" i="20"/>
  <c r="F12" i="20"/>
  <c r="E12" i="20"/>
  <c r="D12" i="20"/>
  <c r="K15" i="24"/>
  <c r="J15" i="24"/>
  <c r="I15" i="24"/>
  <c r="H15" i="24"/>
  <c r="G15" i="24"/>
  <c r="F15" i="24"/>
  <c r="E15" i="24"/>
  <c r="D15" i="24"/>
  <c r="K12" i="24"/>
  <c r="J12" i="24"/>
  <c r="I12" i="24"/>
  <c r="H12" i="24"/>
  <c r="G12" i="24"/>
  <c r="F12" i="24"/>
  <c r="E12" i="24"/>
  <c r="D12" i="24"/>
  <c r="K15" i="18"/>
  <c r="J15" i="18"/>
  <c r="I15" i="18"/>
  <c r="H15" i="18"/>
  <c r="G15" i="18"/>
  <c r="F15" i="18"/>
  <c r="E15" i="18"/>
  <c r="D15" i="18"/>
  <c r="K12" i="18"/>
  <c r="J12" i="18"/>
  <c r="I12" i="18"/>
  <c r="H12" i="18"/>
  <c r="G12" i="18"/>
  <c r="F12" i="18"/>
  <c r="E12" i="18"/>
  <c r="D12" i="18"/>
  <c r="K15" i="25"/>
  <c r="J15" i="25"/>
  <c r="I15" i="25"/>
  <c r="H15" i="25"/>
  <c r="G15" i="25"/>
  <c r="F15" i="25"/>
  <c r="E15" i="25"/>
  <c r="D15" i="25"/>
  <c r="K12" i="25"/>
  <c r="J12" i="25"/>
  <c r="I12" i="25"/>
  <c r="H12" i="25"/>
  <c r="G12" i="25"/>
  <c r="F12" i="25"/>
  <c r="E12" i="25"/>
  <c r="D12" i="25"/>
  <c r="K17" i="23"/>
  <c r="J17" i="23"/>
  <c r="I17" i="23"/>
  <c r="H17" i="23"/>
  <c r="G17" i="23"/>
  <c r="F17" i="23"/>
  <c r="E17" i="23"/>
  <c r="D17" i="23"/>
  <c r="K14" i="23"/>
  <c r="J14" i="23"/>
  <c r="I14" i="23"/>
  <c r="H14" i="23"/>
  <c r="G14" i="23"/>
  <c r="F14" i="23"/>
  <c r="E14" i="23"/>
  <c r="D14" i="23"/>
  <c r="K15" i="22"/>
  <c r="J15" i="22"/>
  <c r="I15" i="22"/>
  <c r="H15" i="22"/>
  <c r="G15" i="22"/>
  <c r="F15" i="22"/>
  <c r="E15" i="22"/>
  <c r="D15" i="22"/>
  <c r="K12" i="22"/>
  <c r="J12" i="22"/>
  <c r="I12" i="22"/>
  <c r="H12" i="22"/>
  <c r="G12" i="22"/>
  <c r="F12" i="22"/>
  <c r="E12" i="22"/>
  <c r="D12" i="22"/>
  <c r="E18" i="17"/>
  <c r="F18" i="17"/>
  <c r="G18" i="17"/>
  <c r="H18" i="17"/>
  <c r="I18" i="17"/>
  <c r="J18" i="17"/>
  <c r="K18" i="17"/>
  <c r="D18" i="17"/>
  <c r="K15" i="17"/>
  <c r="J15" i="17"/>
  <c r="I15" i="17"/>
  <c r="H15" i="17"/>
  <c r="G15" i="17"/>
  <c r="F15" i="17"/>
  <c r="E15" i="17"/>
  <c r="D15" i="17"/>
  <c r="K12" i="17"/>
  <c r="J12" i="17"/>
  <c r="I12" i="17"/>
  <c r="H12" i="17"/>
  <c r="G12" i="17"/>
  <c r="F12" i="17"/>
  <c r="E12" i="17"/>
  <c r="D12" i="17"/>
  <c r="K15" i="27"/>
  <c r="J15" i="27"/>
  <c r="I15" i="27"/>
  <c r="H15" i="27"/>
  <c r="G15" i="27"/>
  <c r="F15" i="27"/>
  <c r="E15" i="27"/>
  <c r="D15" i="27"/>
  <c r="K12" i="27"/>
  <c r="J12" i="27"/>
  <c r="I12" i="27"/>
  <c r="H12" i="27"/>
  <c r="G12" i="27"/>
  <c r="F12" i="27"/>
  <c r="E12" i="27"/>
  <c r="D12" i="27"/>
  <c r="K15" i="26"/>
  <c r="J15" i="26"/>
  <c r="I15" i="26"/>
  <c r="H15" i="26"/>
  <c r="G15" i="26"/>
  <c r="F15" i="26"/>
  <c r="E15" i="26"/>
  <c r="D15" i="26"/>
  <c r="K12" i="26"/>
  <c r="J12" i="26"/>
  <c r="I12" i="26"/>
  <c r="H12" i="26"/>
  <c r="G12" i="26"/>
  <c r="F12" i="26"/>
  <c r="E12" i="26"/>
  <c r="D12" i="26"/>
  <c r="E18" i="16"/>
  <c r="F18" i="16"/>
  <c r="G18" i="16"/>
  <c r="H18" i="16"/>
  <c r="I18" i="16"/>
  <c r="J18" i="16"/>
  <c r="K18" i="16"/>
  <c r="D18" i="16"/>
  <c r="K15" i="16"/>
  <c r="J15" i="16"/>
  <c r="I15" i="16"/>
  <c r="H15" i="16"/>
  <c r="G15" i="16"/>
  <c r="F15" i="16"/>
  <c r="E15" i="16"/>
  <c r="D15" i="16"/>
  <c r="K12" i="16"/>
  <c r="J12" i="16"/>
  <c r="I12" i="16"/>
  <c r="H12" i="16"/>
  <c r="G12" i="16"/>
  <c r="F12" i="16"/>
  <c r="E12" i="16"/>
  <c r="D12" i="16"/>
  <c r="E18" i="11"/>
  <c r="F18" i="11"/>
  <c r="G18" i="11"/>
  <c r="H18" i="11"/>
  <c r="I18" i="11"/>
  <c r="J18" i="11"/>
  <c r="K18" i="11"/>
  <c r="D18" i="11"/>
  <c r="K15" i="11"/>
  <c r="J15" i="11"/>
  <c r="I15" i="11"/>
  <c r="H15" i="11"/>
  <c r="G15" i="11"/>
  <c r="F15" i="11"/>
  <c r="E15" i="11"/>
  <c r="D15" i="11"/>
  <c r="K12" i="11"/>
  <c r="J12" i="11"/>
  <c r="I12" i="11"/>
  <c r="H12" i="11"/>
  <c r="G12" i="11"/>
  <c r="F12" i="11"/>
  <c r="E12" i="11"/>
  <c r="D12" i="11"/>
  <c r="E18" i="10"/>
  <c r="F18" i="10"/>
  <c r="G18" i="10"/>
  <c r="H18" i="10"/>
  <c r="I18" i="10"/>
  <c r="J18" i="10"/>
  <c r="K18" i="10"/>
  <c r="D18" i="10"/>
  <c r="K15" i="10"/>
  <c r="J15" i="10"/>
  <c r="I15" i="10"/>
  <c r="H15" i="10"/>
  <c r="G15" i="10"/>
  <c r="F15" i="10"/>
  <c r="E15" i="10"/>
  <c r="D15" i="10"/>
  <c r="K12" i="10"/>
  <c r="J12" i="10"/>
  <c r="I12" i="10"/>
  <c r="H12" i="10"/>
  <c r="G12" i="10"/>
  <c r="F12" i="10"/>
  <c r="E12" i="10"/>
  <c r="D12" i="10"/>
  <c r="E18" i="15"/>
  <c r="F18" i="15"/>
  <c r="G18" i="15"/>
  <c r="H18" i="15"/>
  <c r="I18" i="15"/>
  <c r="J18" i="15"/>
  <c r="K18" i="15"/>
  <c r="D18" i="15"/>
  <c r="K15" i="15"/>
  <c r="J15" i="15"/>
  <c r="I15" i="15"/>
  <c r="H15" i="15"/>
  <c r="G15" i="15"/>
  <c r="F15" i="15"/>
  <c r="E15" i="15"/>
  <c r="D15" i="15"/>
  <c r="K12" i="15"/>
  <c r="J12" i="15"/>
  <c r="I12" i="15"/>
  <c r="H12" i="15"/>
  <c r="G12" i="15"/>
  <c r="F12" i="15"/>
  <c r="E12" i="15"/>
  <c r="D12" i="15"/>
  <c r="E18" i="14"/>
  <c r="F18" i="14"/>
  <c r="G18" i="14"/>
  <c r="H18" i="14"/>
  <c r="I18" i="14"/>
  <c r="J18" i="14"/>
  <c r="K18" i="14"/>
  <c r="D18" i="14"/>
  <c r="K15" i="14"/>
  <c r="J15" i="14"/>
  <c r="I15" i="14"/>
  <c r="H15" i="14"/>
  <c r="G15" i="14"/>
  <c r="F15" i="14"/>
  <c r="E15" i="14"/>
  <c r="D15" i="14"/>
  <c r="K12" i="14"/>
  <c r="J12" i="14"/>
  <c r="I12" i="14"/>
  <c r="H12" i="14"/>
  <c r="G12" i="14"/>
  <c r="F12" i="14"/>
  <c r="E12" i="14"/>
  <c r="D12" i="14"/>
  <c r="E18" i="13"/>
  <c r="F18" i="13"/>
  <c r="G18" i="13"/>
  <c r="H18" i="13"/>
  <c r="I18" i="13"/>
  <c r="J18" i="13"/>
  <c r="K18" i="13"/>
  <c r="D18" i="13"/>
  <c r="K15" i="13"/>
  <c r="J15" i="13"/>
  <c r="I15" i="13"/>
  <c r="H15" i="13"/>
  <c r="G15" i="13"/>
  <c r="F15" i="13"/>
  <c r="E15" i="13"/>
  <c r="D15" i="13"/>
  <c r="K12" i="13"/>
  <c r="J12" i="13"/>
  <c r="I12" i="13"/>
  <c r="H12" i="13"/>
  <c r="G12" i="13"/>
  <c r="F12" i="13"/>
  <c r="E12" i="13"/>
  <c r="D12" i="13"/>
  <c r="E18" i="32"/>
  <c r="F18" i="32"/>
  <c r="G18" i="32"/>
  <c r="H18" i="32"/>
  <c r="I18" i="32"/>
  <c r="J18" i="32"/>
  <c r="K18" i="32"/>
  <c r="D18" i="32"/>
  <c r="K15" i="32"/>
  <c r="J15" i="32"/>
  <c r="I15" i="32"/>
  <c r="H15" i="32"/>
  <c r="G15" i="32"/>
  <c r="F15" i="32"/>
  <c r="E15" i="32"/>
  <c r="D15" i="32"/>
  <c r="K12" i="32"/>
  <c r="J12" i="32"/>
  <c r="I12" i="32"/>
  <c r="H12" i="32"/>
  <c r="G12" i="32"/>
  <c r="F12" i="32"/>
  <c r="E12" i="32"/>
  <c r="D12" i="32"/>
  <c r="E18" i="28"/>
  <c r="F18" i="28"/>
  <c r="G18" i="28"/>
  <c r="H18" i="28"/>
  <c r="I18" i="28"/>
  <c r="J18" i="28"/>
  <c r="K18" i="28"/>
  <c r="D18" i="28"/>
  <c r="D17" i="28"/>
  <c r="K15" i="28"/>
  <c r="J15" i="28"/>
  <c r="I15" i="28"/>
  <c r="H15" i="28"/>
  <c r="G15" i="28"/>
  <c r="F15" i="28"/>
  <c r="E15" i="28"/>
  <c r="D15" i="28"/>
  <c r="K12" i="28"/>
  <c r="J12" i="28"/>
  <c r="I12" i="28"/>
  <c r="H12" i="28"/>
  <c r="G12" i="28"/>
  <c r="F12" i="28"/>
  <c r="E12" i="28"/>
  <c r="D12" i="28"/>
  <c r="E17" i="8"/>
  <c r="F17" i="8"/>
  <c r="G17" i="8"/>
  <c r="H17" i="8"/>
  <c r="I17" i="8"/>
  <c r="J17" i="8"/>
  <c r="K17" i="8"/>
  <c r="D17" i="8"/>
  <c r="E15" i="8"/>
  <c r="F15" i="8"/>
  <c r="G15" i="8"/>
  <c r="H15" i="8"/>
  <c r="I15" i="8"/>
  <c r="J15" i="8"/>
  <c r="K15" i="8"/>
  <c r="D15" i="8"/>
  <c r="E12" i="8"/>
  <c r="F12" i="8"/>
  <c r="G12" i="8"/>
  <c r="H12" i="8"/>
  <c r="I12" i="8"/>
  <c r="J12" i="8"/>
  <c r="K12" i="8"/>
  <c r="D12" i="8"/>
  <c r="K28" i="5"/>
  <c r="P26" i="5"/>
  <c r="Q26" i="5"/>
  <c r="M26" i="5"/>
  <c r="N26" i="5"/>
  <c r="O26" i="5"/>
  <c r="L26" i="5"/>
  <c r="H28" i="5"/>
  <c r="I28" i="5"/>
  <c r="I30" i="5" s="1"/>
  <c r="K30" i="5"/>
  <c r="J28" i="5"/>
  <c r="G26" i="5"/>
  <c r="G28" i="5" s="1"/>
  <c r="H26" i="5"/>
  <c r="I26" i="5"/>
  <c r="K26" i="5"/>
  <c r="J26" i="5"/>
  <c r="AB28" i="5"/>
  <c r="AA28" i="5"/>
  <c r="Z28" i="5"/>
  <c r="Z29" i="5" s="1"/>
  <c r="Y28" i="5"/>
  <c r="Y30" i="5" s="1"/>
  <c r="X28" i="5"/>
  <c r="X30" i="5" s="1"/>
  <c r="W28" i="5"/>
  <c r="W29" i="5" s="1"/>
  <c r="U28" i="5"/>
  <c r="U29" i="5" s="1"/>
  <c r="V28" i="5"/>
  <c r="V29" i="5" s="1"/>
  <c r="S28" i="5"/>
  <c r="T28" i="5"/>
  <c r="R28" i="5"/>
  <c r="H29" i="5"/>
  <c r="F28" i="5"/>
  <c r="F29" i="5"/>
  <c r="M29" i="5"/>
  <c r="N29" i="5"/>
  <c r="O29" i="5"/>
  <c r="P29" i="5"/>
  <c r="R29" i="5"/>
  <c r="S29" i="5"/>
  <c r="T29" i="5"/>
  <c r="Y29" i="5"/>
  <c r="AA29" i="5"/>
  <c r="AB29" i="5"/>
  <c r="F30" i="5"/>
  <c r="M30" i="5"/>
  <c r="N30" i="5"/>
  <c r="O30" i="5"/>
  <c r="R30" i="5"/>
  <c r="S30" i="5"/>
  <c r="T30" i="5"/>
  <c r="U30" i="5"/>
  <c r="W30" i="5"/>
  <c r="Z30" i="5"/>
  <c r="AA30" i="5"/>
  <c r="AB30" i="5"/>
  <c r="E28" i="5"/>
  <c r="E29" i="5" s="1"/>
  <c r="C29" i="5"/>
  <c r="D29" i="5"/>
  <c r="C30" i="5"/>
  <c r="D30" i="5"/>
  <c r="C28" i="5"/>
  <c r="D28" i="5"/>
  <c r="B30" i="5"/>
  <c r="B29" i="5"/>
  <c r="B28" i="5"/>
  <c r="P22" i="5"/>
  <c r="P20" i="5"/>
  <c r="P19" i="5"/>
  <c r="P30" i="5" s="1"/>
  <c r="P18" i="5"/>
  <c r="K19" i="32"/>
  <c r="J19" i="32"/>
  <c r="I19" i="32"/>
  <c r="H19" i="32"/>
  <c r="G19" i="32"/>
  <c r="F19" i="32"/>
  <c r="E19" i="32"/>
  <c r="D19" i="32"/>
  <c r="K9" i="32"/>
  <c r="J9" i="32"/>
  <c r="I9" i="32"/>
  <c r="H9" i="32"/>
  <c r="G9" i="32"/>
  <c r="F9" i="32"/>
  <c r="E9" i="32"/>
  <c r="E20" i="32" s="1"/>
  <c r="D9" i="32"/>
  <c r="K6" i="32"/>
  <c r="J6" i="32"/>
  <c r="I6" i="32"/>
  <c r="H6" i="32"/>
  <c r="G6" i="32"/>
  <c r="F6" i="32"/>
  <c r="E6" i="32"/>
  <c r="D6" i="32"/>
  <c r="D19" i="31"/>
  <c r="E19" i="31"/>
  <c r="I19" i="31"/>
  <c r="J19" i="31"/>
  <c r="K19" i="31"/>
  <c r="J9" i="31"/>
  <c r="I9" i="31"/>
  <c r="H9" i="31"/>
  <c r="K9" i="31"/>
  <c r="G9" i="31"/>
  <c r="F9" i="31"/>
  <c r="E9" i="31"/>
  <c r="D9" i="31"/>
  <c r="K6" i="31"/>
  <c r="J6" i="31"/>
  <c r="I6" i="31"/>
  <c r="H6" i="31"/>
  <c r="F6" i="31"/>
  <c r="E6" i="31"/>
  <c r="D6" i="31"/>
  <c r="G6" i="31"/>
  <c r="K19" i="30"/>
  <c r="J19" i="30"/>
  <c r="I19" i="30"/>
  <c r="H19" i="30"/>
  <c r="E19" i="30"/>
  <c r="F19" i="30"/>
  <c r="G19" i="30" s="1"/>
  <c r="D19" i="30"/>
  <c r="E8" i="30"/>
  <c r="F8" i="30"/>
  <c r="G8" i="30"/>
  <c r="H8" i="30"/>
  <c r="I8" i="30"/>
  <c r="J8" i="30"/>
  <c r="K8" i="30"/>
  <c r="G5" i="30"/>
  <c r="K6" i="30"/>
  <c r="J6" i="30"/>
  <c r="I6" i="30"/>
  <c r="H6" i="30"/>
  <c r="G6" i="30"/>
  <c r="F6" i="30"/>
  <c r="E6" i="30"/>
  <c r="D6" i="30"/>
  <c r="E9" i="28"/>
  <c r="F9" i="28"/>
  <c r="G9" i="28"/>
  <c r="H9" i="28"/>
  <c r="I9" i="28"/>
  <c r="J9" i="28"/>
  <c r="K9" i="28"/>
  <c r="D9" i="28"/>
  <c r="E9" i="8"/>
  <c r="F9" i="8"/>
  <c r="G9" i="8"/>
  <c r="H9" i="8"/>
  <c r="I9" i="8"/>
  <c r="J9" i="8"/>
  <c r="J19" i="8" s="1"/>
  <c r="J20" i="8" s="1"/>
  <c r="K9" i="8"/>
  <c r="K19" i="8" s="1"/>
  <c r="D9" i="8"/>
  <c r="E22" i="19"/>
  <c r="F22" i="19"/>
  <c r="G22" i="19"/>
  <c r="H22" i="19"/>
  <c r="I22" i="19"/>
  <c r="J22" i="19"/>
  <c r="K22" i="19"/>
  <c r="D22" i="19"/>
  <c r="E22" i="20"/>
  <c r="F22" i="20"/>
  <c r="G22" i="20"/>
  <c r="H22" i="20"/>
  <c r="I22" i="20"/>
  <c r="J22" i="20"/>
  <c r="K22" i="20"/>
  <c r="D22" i="20"/>
  <c r="E22" i="21"/>
  <c r="F22" i="21"/>
  <c r="G22" i="21"/>
  <c r="H22" i="21"/>
  <c r="I22" i="21"/>
  <c r="J22" i="21"/>
  <c r="K22" i="21"/>
  <c r="D22" i="21"/>
  <c r="K19" i="29"/>
  <c r="J19" i="29"/>
  <c r="I19" i="29"/>
  <c r="H19" i="29"/>
  <c r="F19" i="29"/>
  <c r="G19" i="29" s="1"/>
  <c r="E19" i="29"/>
  <c r="D19" i="29"/>
  <c r="E23" i="29"/>
  <c r="F23" i="29"/>
  <c r="G23" i="29"/>
  <c r="H23" i="29"/>
  <c r="I23" i="29"/>
  <c r="J23" i="29"/>
  <c r="K23" i="29"/>
  <c r="D23" i="29"/>
  <c r="E22" i="29"/>
  <c r="F22" i="29"/>
  <c r="G22" i="29"/>
  <c r="H22" i="29"/>
  <c r="I22" i="29"/>
  <c r="J22" i="29"/>
  <c r="K22" i="29"/>
  <c r="F6" i="29"/>
  <c r="D6" i="29"/>
  <c r="H6" i="29"/>
  <c r="F9" i="29"/>
  <c r="E9" i="29"/>
  <c r="D9" i="29"/>
  <c r="I9" i="27"/>
  <c r="E6" i="27"/>
  <c r="D9" i="27"/>
  <c r="K9" i="29"/>
  <c r="J9" i="29"/>
  <c r="I9" i="29"/>
  <c r="H9" i="29"/>
  <c r="G9" i="29"/>
  <c r="K6" i="29"/>
  <c r="J6" i="29"/>
  <c r="I6" i="29"/>
  <c r="G6" i="29"/>
  <c r="E6" i="29"/>
  <c r="Q19" i="5"/>
  <c r="Q30" i="5" s="1"/>
  <c r="Q18" i="5"/>
  <c r="Q29" i="5" s="1"/>
  <c r="I6" i="28"/>
  <c r="D6" i="28"/>
  <c r="J6" i="28"/>
  <c r="H6" i="28"/>
  <c r="F6" i="28"/>
  <c r="K19" i="28"/>
  <c r="J19" i="28"/>
  <c r="I19" i="28"/>
  <c r="H19" i="28"/>
  <c r="G19" i="28"/>
  <c r="F19" i="28"/>
  <c r="E19" i="28"/>
  <c r="D19" i="28"/>
  <c r="K6" i="28"/>
  <c r="G6" i="28"/>
  <c r="E6" i="28"/>
  <c r="K9" i="27"/>
  <c r="J9" i="27"/>
  <c r="H9" i="27"/>
  <c r="G9" i="27"/>
  <c r="F9" i="27"/>
  <c r="K6" i="27"/>
  <c r="J6" i="27"/>
  <c r="I6" i="27"/>
  <c r="H6" i="27"/>
  <c r="G6" i="27"/>
  <c r="F6" i="27"/>
  <c r="D6" i="27"/>
  <c r="K19" i="26"/>
  <c r="J19" i="26"/>
  <c r="I19" i="26"/>
  <c r="H19" i="26"/>
  <c r="G19" i="26"/>
  <c r="F19" i="26"/>
  <c r="E19" i="26"/>
  <c r="D19" i="26"/>
  <c r="K9" i="26"/>
  <c r="J9" i="26"/>
  <c r="I9" i="26"/>
  <c r="H9" i="26"/>
  <c r="G9" i="26"/>
  <c r="F9" i="26"/>
  <c r="E9" i="26"/>
  <c r="D9" i="26"/>
  <c r="K6" i="26"/>
  <c r="J6" i="26"/>
  <c r="I6" i="26"/>
  <c r="H6" i="26"/>
  <c r="G6" i="26"/>
  <c r="F6" i="26"/>
  <c r="E6" i="26"/>
  <c r="D6" i="26"/>
  <c r="K19" i="25"/>
  <c r="J19" i="25"/>
  <c r="I19" i="25"/>
  <c r="H19" i="25"/>
  <c r="G19" i="25"/>
  <c r="F19" i="25"/>
  <c r="E19" i="25"/>
  <c r="D19" i="25"/>
  <c r="K9" i="25"/>
  <c r="J9" i="25"/>
  <c r="I9" i="25"/>
  <c r="H9" i="25"/>
  <c r="G9" i="25"/>
  <c r="F9" i="25"/>
  <c r="E9" i="25"/>
  <c r="D9" i="25"/>
  <c r="K6" i="25"/>
  <c r="J6" i="25"/>
  <c r="I6" i="25"/>
  <c r="H6" i="25"/>
  <c r="G6" i="25"/>
  <c r="F6" i="25"/>
  <c r="E6" i="25"/>
  <c r="D6" i="25"/>
  <c r="K19" i="24"/>
  <c r="J19" i="24"/>
  <c r="I19" i="24"/>
  <c r="H19" i="24"/>
  <c r="G19" i="24"/>
  <c r="F19" i="24"/>
  <c r="E19" i="24"/>
  <c r="D19" i="24"/>
  <c r="E6" i="24"/>
  <c r="F6" i="24"/>
  <c r="G6" i="24"/>
  <c r="H6" i="24"/>
  <c r="I6" i="24"/>
  <c r="J6" i="24"/>
  <c r="K6" i="24"/>
  <c r="D6" i="24"/>
  <c r="K9" i="24"/>
  <c r="J9" i="24"/>
  <c r="I9" i="24"/>
  <c r="H9" i="24"/>
  <c r="G9" i="24"/>
  <c r="F9" i="24"/>
  <c r="E9" i="24"/>
  <c r="D9" i="24"/>
  <c r="J21" i="23"/>
  <c r="K21" i="23"/>
  <c r="I21" i="23"/>
  <c r="H21" i="23"/>
  <c r="G21" i="23"/>
  <c r="F21" i="23"/>
  <c r="E21" i="23"/>
  <c r="E8" i="23"/>
  <c r="D8" i="23"/>
  <c r="F8" i="23"/>
  <c r="G8" i="23"/>
  <c r="H8" i="23"/>
  <c r="I8" i="23"/>
  <c r="J8" i="23"/>
  <c r="K8" i="23"/>
  <c r="D21" i="23"/>
  <c r="K11" i="23"/>
  <c r="J11" i="23"/>
  <c r="I11" i="23"/>
  <c r="H11" i="23"/>
  <c r="G11" i="23"/>
  <c r="F11" i="23"/>
  <c r="E11" i="23"/>
  <c r="D11" i="23"/>
  <c r="K19" i="22"/>
  <c r="J19" i="22"/>
  <c r="I19" i="22"/>
  <c r="I7" i="22"/>
  <c r="H19" i="22"/>
  <c r="G19" i="22"/>
  <c r="F19" i="22"/>
  <c r="E19" i="22"/>
  <c r="D19" i="22"/>
  <c r="K9" i="22"/>
  <c r="J9" i="22"/>
  <c r="I9" i="22"/>
  <c r="H9" i="22"/>
  <c r="G9" i="22"/>
  <c r="F9" i="22"/>
  <c r="E9" i="22"/>
  <c r="D9" i="22"/>
  <c r="K6" i="22"/>
  <c r="J6" i="22"/>
  <c r="I6" i="22"/>
  <c r="H6" i="22"/>
  <c r="G6" i="22"/>
  <c r="F6" i="22"/>
  <c r="E6" i="22"/>
  <c r="D6" i="22"/>
  <c r="E9" i="21"/>
  <c r="F9" i="21"/>
  <c r="G9" i="21"/>
  <c r="H9" i="21"/>
  <c r="I9" i="21"/>
  <c r="I17" i="21" s="1"/>
  <c r="I18" i="21" s="1"/>
  <c r="J9" i="21"/>
  <c r="J17" i="21" s="1"/>
  <c r="J18" i="21" s="1"/>
  <c r="K9" i="21"/>
  <c r="D9" i="21"/>
  <c r="K19" i="21"/>
  <c r="J19" i="21"/>
  <c r="I19" i="21"/>
  <c r="H19" i="21"/>
  <c r="G19" i="21"/>
  <c r="F19" i="21"/>
  <c r="D19" i="21"/>
  <c r="E19" i="21"/>
  <c r="K6" i="21"/>
  <c r="J6" i="21"/>
  <c r="I6" i="21"/>
  <c r="H6" i="21"/>
  <c r="G6" i="21"/>
  <c r="F6" i="21"/>
  <c r="E6" i="21"/>
  <c r="D6" i="21"/>
  <c r="K19" i="20"/>
  <c r="J19" i="20"/>
  <c r="I19" i="20"/>
  <c r="H19" i="20"/>
  <c r="G19" i="20"/>
  <c r="F19" i="20"/>
  <c r="E19" i="20"/>
  <c r="D19" i="20"/>
  <c r="K9" i="20"/>
  <c r="J9" i="20"/>
  <c r="I9" i="20"/>
  <c r="H9" i="20"/>
  <c r="G9" i="20"/>
  <c r="F9" i="20"/>
  <c r="E9" i="20"/>
  <c r="D9" i="20"/>
  <c r="K6" i="20"/>
  <c r="J6" i="20"/>
  <c r="I6" i="20"/>
  <c r="H6" i="20"/>
  <c r="G6" i="20"/>
  <c r="F6" i="20"/>
  <c r="E6" i="20"/>
  <c r="D6" i="20"/>
  <c r="K19" i="19"/>
  <c r="J19" i="19"/>
  <c r="I19" i="19"/>
  <c r="H19" i="19"/>
  <c r="G19" i="19"/>
  <c r="F19" i="19"/>
  <c r="E19" i="19"/>
  <c r="D19" i="19"/>
  <c r="K9" i="19"/>
  <c r="J9" i="19"/>
  <c r="I9" i="19"/>
  <c r="H9" i="19"/>
  <c r="G9" i="19"/>
  <c r="F9" i="19"/>
  <c r="E9" i="19"/>
  <c r="D9" i="19"/>
  <c r="K6" i="19"/>
  <c r="J6" i="19"/>
  <c r="I6" i="19"/>
  <c r="H6" i="19"/>
  <c r="G6" i="19"/>
  <c r="F6" i="19"/>
  <c r="E6" i="19"/>
  <c r="D6" i="19"/>
  <c r="K19" i="18"/>
  <c r="J19" i="18"/>
  <c r="I19" i="18"/>
  <c r="H19" i="18"/>
  <c r="G19" i="18"/>
  <c r="F19" i="18"/>
  <c r="E19" i="18"/>
  <c r="D19" i="18"/>
  <c r="K9" i="18"/>
  <c r="J9" i="18"/>
  <c r="I9" i="18"/>
  <c r="H9" i="18"/>
  <c r="G9" i="18"/>
  <c r="F9" i="18"/>
  <c r="E9" i="18"/>
  <c r="D9" i="18"/>
  <c r="K6" i="18"/>
  <c r="J6" i="18"/>
  <c r="I6" i="18"/>
  <c r="H6" i="18"/>
  <c r="G6" i="18"/>
  <c r="F6" i="18"/>
  <c r="E6" i="18"/>
  <c r="D6" i="18"/>
  <c r="K19" i="17"/>
  <c r="J19" i="17"/>
  <c r="I19" i="17"/>
  <c r="H19" i="17"/>
  <c r="G19" i="17"/>
  <c r="F19" i="17"/>
  <c r="E19" i="17"/>
  <c r="D19" i="17"/>
  <c r="K9" i="17"/>
  <c r="J9" i="17"/>
  <c r="J20" i="17" s="1"/>
  <c r="I9" i="17"/>
  <c r="H9" i="17"/>
  <c r="G9" i="17"/>
  <c r="F9" i="17"/>
  <c r="E9" i="17"/>
  <c r="D9" i="17"/>
  <c r="K6" i="17"/>
  <c r="J6" i="17"/>
  <c r="I6" i="17"/>
  <c r="H6" i="17"/>
  <c r="G6" i="17"/>
  <c r="F6" i="17"/>
  <c r="E6" i="17"/>
  <c r="D6" i="17"/>
  <c r="K19" i="16"/>
  <c r="J19" i="16"/>
  <c r="I19" i="16"/>
  <c r="H19" i="16"/>
  <c r="G19" i="16"/>
  <c r="F19" i="16"/>
  <c r="E19" i="16"/>
  <c r="D19" i="16"/>
  <c r="K9" i="16"/>
  <c r="J9" i="16"/>
  <c r="J20" i="16" s="1"/>
  <c r="I9" i="16"/>
  <c r="H9" i="16"/>
  <c r="G9" i="16"/>
  <c r="F9" i="16"/>
  <c r="E9" i="16"/>
  <c r="D9" i="16"/>
  <c r="K6" i="16"/>
  <c r="J6" i="16"/>
  <c r="I6" i="16"/>
  <c r="H6" i="16"/>
  <c r="G6" i="16"/>
  <c r="F6" i="16"/>
  <c r="E6" i="16"/>
  <c r="D6" i="16"/>
  <c r="K19" i="15"/>
  <c r="D19" i="15"/>
  <c r="E19" i="15"/>
  <c r="F19" i="15"/>
  <c r="G19" i="15"/>
  <c r="H19" i="15"/>
  <c r="I19" i="15"/>
  <c r="J19" i="15"/>
  <c r="K9" i="15"/>
  <c r="J9" i="15"/>
  <c r="J20" i="15" s="1"/>
  <c r="I9" i="15"/>
  <c r="I20" i="15" s="1"/>
  <c r="H9" i="15"/>
  <c r="H20" i="15" s="1"/>
  <c r="G9" i="15"/>
  <c r="F9" i="15"/>
  <c r="E9" i="15"/>
  <c r="D9" i="15"/>
  <c r="K6" i="15"/>
  <c r="J6" i="15"/>
  <c r="I6" i="15"/>
  <c r="H6" i="15"/>
  <c r="G6" i="15"/>
  <c r="F6" i="15"/>
  <c r="E6" i="15"/>
  <c r="D6" i="15"/>
  <c r="K19" i="14"/>
  <c r="J19" i="14"/>
  <c r="I19" i="14"/>
  <c r="H19" i="14"/>
  <c r="G19" i="14"/>
  <c r="F19" i="14"/>
  <c r="F7" i="14"/>
  <c r="E19" i="14"/>
  <c r="D19" i="14"/>
  <c r="K9" i="14"/>
  <c r="J9" i="14"/>
  <c r="I9" i="14"/>
  <c r="I20" i="14" s="1"/>
  <c r="H9" i="14"/>
  <c r="H20" i="14" s="1"/>
  <c r="G9" i="14"/>
  <c r="F9" i="14"/>
  <c r="E9" i="14"/>
  <c r="D9" i="14"/>
  <c r="K6" i="14"/>
  <c r="J6" i="14"/>
  <c r="I6" i="14"/>
  <c r="H6" i="14"/>
  <c r="G6" i="14"/>
  <c r="F6" i="14"/>
  <c r="E6" i="14"/>
  <c r="D6" i="14"/>
  <c r="K19" i="13"/>
  <c r="J19" i="13"/>
  <c r="I19" i="13"/>
  <c r="H19" i="13"/>
  <c r="G19" i="13"/>
  <c r="F19" i="13"/>
  <c r="E19" i="13"/>
  <c r="D19" i="13"/>
  <c r="K9" i="13"/>
  <c r="J9" i="13"/>
  <c r="I9" i="13"/>
  <c r="H9" i="13"/>
  <c r="H20" i="13" s="1"/>
  <c r="G9" i="13"/>
  <c r="G20" i="13" s="1"/>
  <c r="G21" i="13" s="1"/>
  <c r="F9" i="13"/>
  <c r="F20" i="13" s="1"/>
  <c r="E9" i="13"/>
  <c r="E20" i="13" s="1"/>
  <c r="D9" i="13"/>
  <c r="D20" i="13" s="1"/>
  <c r="K6" i="13"/>
  <c r="J6" i="13"/>
  <c r="I6" i="13"/>
  <c r="H6" i="13"/>
  <c r="G6" i="13"/>
  <c r="F6" i="13"/>
  <c r="E6" i="13"/>
  <c r="D6" i="13"/>
  <c r="K19" i="11"/>
  <c r="J19" i="11"/>
  <c r="I19" i="11"/>
  <c r="H19" i="11"/>
  <c r="G19" i="11"/>
  <c r="F19" i="11"/>
  <c r="E19" i="11"/>
  <c r="D19" i="11"/>
  <c r="K9" i="11"/>
  <c r="J9" i="11"/>
  <c r="J17" i="11" s="1"/>
  <c r="I9" i="11"/>
  <c r="I17" i="11" s="1"/>
  <c r="H9" i="11"/>
  <c r="H20" i="11" s="1"/>
  <c r="G9" i="11"/>
  <c r="F9" i="11"/>
  <c r="F20" i="11" s="1"/>
  <c r="E9" i="11"/>
  <c r="E20" i="11" s="1"/>
  <c r="D9" i="11"/>
  <c r="K6" i="11"/>
  <c r="J6" i="11"/>
  <c r="I6" i="11"/>
  <c r="H6" i="11"/>
  <c r="G6" i="11"/>
  <c r="F6" i="11"/>
  <c r="E6" i="11"/>
  <c r="D6" i="11"/>
  <c r="K19" i="10"/>
  <c r="K7" i="10"/>
  <c r="J19" i="10"/>
  <c r="I19" i="10"/>
  <c r="H19" i="10"/>
  <c r="G19" i="10"/>
  <c r="F19" i="10"/>
  <c r="E19" i="10"/>
  <c r="E9" i="10"/>
  <c r="F9" i="10"/>
  <c r="F17" i="10" s="1"/>
  <c r="G9" i="10"/>
  <c r="G17" i="10" s="1"/>
  <c r="H9" i="10"/>
  <c r="H17" i="10" s="1"/>
  <c r="I9" i="10"/>
  <c r="I17" i="10" s="1"/>
  <c r="J9" i="10"/>
  <c r="J20" i="10" s="1"/>
  <c r="K9" i="10"/>
  <c r="K20" i="10" s="1"/>
  <c r="D9" i="10"/>
  <c r="D19" i="10"/>
  <c r="K6" i="10"/>
  <c r="J6" i="10"/>
  <c r="I6" i="10"/>
  <c r="H6" i="10"/>
  <c r="G6" i="10"/>
  <c r="F6" i="10"/>
  <c r="E6" i="10"/>
  <c r="D6" i="10"/>
  <c r="D39" i="9"/>
  <c r="K18" i="8"/>
  <c r="J18" i="8"/>
  <c r="I18" i="8"/>
  <c r="H18" i="8"/>
  <c r="G18" i="8"/>
  <c r="F18" i="8"/>
  <c r="E18" i="8"/>
  <c r="D18" i="8"/>
  <c r="E6" i="8"/>
  <c r="F6" i="8"/>
  <c r="G6" i="8"/>
  <c r="H6" i="8"/>
  <c r="I6" i="8"/>
  <c r="J6" i="8"/>
  <c r="K6" i="8"/>
  <c r="D6" i="8"/>
  <c r="E17" i="35" l="1"/>
  <c r="E18" i="35" s="1"/>
  <c r="I17" i="35"/>
  <c r="I18" i="35" s="1"/>
  <c r="J17" i="35"/>
  <c r="J18" i="35" s="1"/>
  <c r="G17" i="35"/>
  <c r="G18" i="35" s="1"/>
  <c r="H17" i="35"/>
  <c r="H18" i="35" s="1"/>
  <c r="D17" i="35"/>
  <c r="D18" i="35" s="1"/>
  <c r="D21" i="35" s="1"/>
  <c r="K17" i="35"/>
  <c r="K18" i="35" s="1"/>
  <c r="E21" i="35"/>
  <c r="G21" i="35"/>
  <c r="I21" i="35"/>
  <c r="F17" i="35"/>
  <c r="F18" i="35" s="1"/>
  <c r="D17" i="31"/>
  <c r="D18" i="31" s="1"/>
  <c r="K17" i="30"/>
  <c r="K18" i="30" s="1"/>
  <c r="I17" i="30"/>
  <c r="I18" i="30" s="1"/>
  <c r="I20" i="30" s="1"/>
  <c r="I21" i="30" s="1"/>
  <c r="H17" i="30"/>
  <c r="H18" i="30" s="1"/>
  <c r="H20" i="30" s="1"/>
  <c r="H21" i="30" s="1"/>
  <c r="D17" i="30"/>
  <c r="D18" i="30" s="1"/>
  <c r="E17" i="30"/>
  <c r="E18" i="30" s="1"/>
  <c r="E20" i="30" s="1"/>
  <c r="E21" i="30" s="1"/>
  <c r="F17" i="30"/>
  <c r="F18" i="30" s="1"/>
  <c r="F20" i="30" s="1"/>
  <c r="F21" i="30" s="1"/>
  <c r="G17" i="30"/>
  <c r="G18" i="30" s="1"/>
  <c r="G20" i="30" s="1"/>
  <c r="G21" i="30" s="1"/>
  <c r="J17" i="30"/>
  <c r="J18" i="30" s="1"/>
  <c r="J20" i="30" s="1"/>
  <c r="J21" i="30" s="1"/>
  <c r="E17" i="31"/>
  <c r="E18" i="31" s="1"/>
  <c r="E20" i="31" s="1"/>
  <c r="E21" i="31" s="1"/>
  <c r="H17" i="31"/>
  <c r="H18" i="31" s="1"/>
  <c r="H20" i="31" s="1"/>
  <c r="H21" i="31" s="1"/>
  <c r="F17" i="31"/>
  <c r="F18" i="31" s="1"/>
  <c r="F20" i="31" s="1"/>
  <c r="F21" i="31" s="1"/>
  <c r="G17" i="31"/>
  <c r="G18" i="31" s="1"/>
  <c r="I17" i="31"/>
  <c r="I18" i="31" s="1"/>
  <c r="I20" i="31" s="1"/>
  <c r="I21" i="31" s="1"/>
  <c r="J17" i="31"/>
  <c r="J18" i="31" s="1"/>
  <c r="J20" i="31" s="1"/>
  <c r="J21" i="31" s="1"/>
  <c r="K17" i="31"/>
  <c r="K18" i="31" s="1"/>
  <c r="K20" i="31" s="1"/>
  <c r="K21" i="31" s="1"/>
  <c r="D17" i="29"/>
  <c r="D18" i="29" s="1"/>
  <c r="D20" i="29" s="1"/>
  <c r="D21" i="29" s="1"/>
  <c r="E17" i="29"/>
  <c r="E18" i="29" s="1"/>
  <c r="F17" i="29"/>
  <c r="F18" i="29" s="1"/>
  <c r="G17" i="29"/>
  <c r="G18" i="29" s="1"/>
  <c r="H17" i="29"/>
  <c r="H18" i="29" s="1"/>
  <c r="I17" i="29"/>
  <c r="I18" i="29" s="1"/>
  <c r="J17" i="29"/>
  <c r="J18" i="29" s="1"/>
  <c r="K17" i="29"/>
  <c r="K18" i="29" s="1"/>
  <c r="K20" i="29" s="1"/>
  <c r="K21" i="29" s="1"/>
  <c r="E17" i="21"/>
  <c r="E18" i="21" s="1"/>
  <c r="E20" i="21" s="1"/>
  <c r="D17" i="21"/>
  <c r="D18" i="21" s="1"/>
  <c r="D20" i="21" s="1"/>
  <c r="D21" i="21" s="1"/>
  <c r="F17" i="21"/>
  <c r="F18" i="21" s="1"/>
  <c r="F20" i="21" s="1"/>
  <c r="F21" i="21" s="1"/>
  <c r="G17" i="21"/>
  <c r="G18" i="21" s="1"/>
  <c r="G20" i="21" s="1"/>
  <c r="G21" i="21" s="1"/>
  <c r="H17" i="21"/>
  <c r="H18" i="21" s="1"/>
  <c r="K17" i="21"/>
  <c r="K18" i="21" s="1"/>
  <c r="E17" i="19"/>
  <c r="E18" i="19" s="1"/>
  <c r="F17" i="19"/>
  <c r="F18" i="19" s="1"/>
  <c r="G17" i="19"/>
  <c r="G18" i="19" s="1"/>
  <c r="G20" i="19" s="1"/>
  <c r="G21" i="19" s="1"/>
  <c r="H17" i="19"/>
  <c r="H18" i="19" s="1"/>
  <c r="H20" i="19" s="1"/>
  <c r="H21" i="19" s="1"/>
  <c r="I17" i="19"/>
  <c r="I18" i="19" s="1"/>
  <c r="I20" i="19"/>
  <c r="I21" i="19" s="1"/>
  <c r="J17" i="19"/>
  <c r="J18" i="19" s="1"/>
  <c r="J20" i="19"/>
  <c r="J21" i="19" s="1"/>
  <c r="K17" i="19"/>
  <c r="K18" i="19" s="1"/>
  <c r="K20" i="19" s="1"/>
  <c r="K21" i="19" s="1"/>
  <c r="D17" i="20"/>
  <c r="D18" i="20" s="1"/>
  <c r="D20" i="20" s="1"/>
  <c r="D21" i="20" s="1"/>
  <c r="E17" i="20"/>
  <c r="E18" i="20" s="1"/>
  <c r="E20" i="20" s="1"/>
  <c r="E21" i="20" s="1"/>
  <c r="F17" i="20"/>
  <c r="F18" i="20" s="1"/>
  <c r="F20" i="20" s="1"/>
  <c r="F21" i="20" s="1"/>
  <c r="G17" i="20"/>
  <c r="G18" i="20" s="1"/>
  <c r="G20" i="20" s="1"/>
  <c r="G21" i="20" s="1"/>
  <c r="H17" i="20"/>
  <c r="H18" i="20" s="1"/>
  <c r="H20" i="20" s="1"/>
  <c r="H21" i="20" s="1"/>
  <c r="I17" i="20"/>
  <c r="I18" i="20" s="1"/>
  <c r="I20" i="20" s="1"/>
  <c r="I21" i="20" s="1"/>
  <c r="J17" i="20"/>
  <c r="J18" i="20" s="1"/>
  <c r="J20" i="20" s="1"/>
  <c r="J21" i="20" s="1"/>
  <c r="K17" i="20"/>
  <c r="K18" i="20" s="1"/>
  <c r="K20" i="20" s="1"/>
  <c r="K21" i="20" s="1"/>
  <c r="E17" i="24"/>
  <c r="E18" i="24" s="1"/>
  <c r="G17" i="24"/>
  <c r="G18" i="24" s="1"/>
  <c r="D17" i="24"/>
  <c r="D18" i="24" s="1"/>
  <c r="F17" i="24"/>
  <c r="F18" i="24" s="1"/>
  <c r="H17" i="24"/>
  <c r="H18" i="24" s="1"/>
  <c r="E20" i="24"/>
  <c r="E21" i="24" s="1"/>
  <c r="I17" i="24"/>
  <c r="I18" i="24" s="1"/>
  <c r="J17" i="24"/>
  <c r="J18" i="24" s="1"/>
  <c r="K17" i="24"/>
  <c r="K18" i="24" s="1"/>
  <c r="K20" i="24" s="1"/>
  <c r="K21" i="24" s="1"/>
  <c r="E17" i="18"/>
  <c r="E18" i="18" s="1"/>
  <c r="E20" i="18" s="1"/>
  <c r="E21" i="18" s="1"/>
  <c r="F17" i="18"/>
  <c r="F18" i="18" s="1"/>
  <c r="F20" i="18"/>
  <c r="F21" i="18" s="1"/>
  <c r="G17" i="18"/>
  <c r="G18" i="18" s="1"/>
  <c r="G20" i="18" s="1"/>
  <c r="G21" i="18" s="1"/>
  <c r="D17" i="18"/>
  <c r="D18" i="18" s="1"/>
  <c r="D20" i="18" s="1"/>
  <c r="D21" i="18" s="1"/>
  <c r="H17" i="18"/>
  <c r="H18" i="18" s="1"/>
  <c r="H20" i="18" s="1"/>
  <c r="H21" i="18" s="1"/>
  <c r="I17" i="18"/>
  <c r="I18" i="18" s="1"/>
  <c r="I20" i="18" s="1"/>
  <c r="I21" i="18" s="1"/>
  <c r="J17" i="18"/>
  <c r="J18" i="18" s="1"/>
  <c r="J20" i="18" s="1"/>
  <c r="J21" i="18" s="1"/>
  <c r="K17" i="18"/>
  <c r="K18" i="18" s="1"/>
  <c r="K20" i="18" s="1"/>
  <c r="K21" i="18" s="1"/>
  <c r="D17" i="25"/>
  <c r="D18" i="25" s="1"/>
  <c r="D20" i="25" s="1"/>
  <c r="D21" i="25" s="1"/>
  <c r="E17" i="25"/>
  <c r="E18" i="25" s="1"/>
  <c r="E20" i="25" s="1"/>
  <c r="E21" i="25" s="1"/>
  <c r="F17" i="25"/>
  <c r="F18" i="25" s="1"/>
  <c r="F20" i="25" s="1"/>
  <c r="F21" i="25" s="1"/>
  <c r="G17" i="25"/>
  <c r="G18" i="25" s="1"/>
  <c r="G20" i="25" s="1"/>
  <c r="G21" i="25" s="1"/>
  <c r="H17" i="25"/>
  <c r="H18" i="25" s="1"/>
  <c r="H20" i="25" s="1"/>
  <c r="H21" i="25" s="1"/>
  <c r="I17" i="25"/>
  <c r="I18" i="25" s="1"/>
  <c r="I20" i="25" s="1"/>
  <c r="I21" i="25" s="1"/>
  <c r="J17" i="25"/>
  <c r="J18" i="25" s="1"/>
  <c r="J20" i="25" s="1"/>
  <c r="J21" i="25" s="1"/>
  <c r="K17" i="25"/>
  <c r="K18" i="25" s="1"/>
  <c r="K20" i="25" s="1"/>
  <c r="K21" i="25" s="1"/>
  <c r="D19" i="23"/>
  <c r="D20" i="23" s="1"/>
  <c r="E19" i="23"/>
  <c r="E20" i="23" s="1"/>
  <c r="F19" i="23"/>
  <c r="F20" i="23" s="1"/>
  <c r="G19" i="23"/>
  <c r="G20" i="23" s="1"/>
  <c r="H19" i="23"/>
  <c r="H20" i="23" s="1"/>
  <c r="H22" i="23" s="1"/>
  <c r="H23" i="23" s="1"/>
  <c r="E22" i="23"/>
  <c r="E23" i="23" s="1"/>
  <c r="I19" i="23"/>
  <c r="I20" i="23" s="1"/>
  <c r="I22" i="23" s="1"/>
  <c r="I23" i="23" s="1"/>
  <c r="J19" i="23"/>
  <c r="J20" i="23" s="1"/>
  <c r="J22" i="23" s="1"/>
  <c r="J23" i="23" s="1"/>
  <c r="K19" i="23"/>
  <c r="K20" i="23" s="1"/>
  <c r="K22" i="23" s="1"/>
  <c r="K23" i="23" s="1"/>
  <c r="D17" i="22"/>
  <c r="D18" i="22" s="1"/>
  <c r="D20" i="22" s="1"/>
  <c r="D21" i="22" s="1"/>
  <c r="E17" i="22"/>
  <c r="E18" i="22" s="1"/>
  <c r="E20" i="22" s="1"/>
  <c r="E21" i="22" s="1"/>
  <c r="F17" i="22"/>
  <c r="F18" i="22" s="1"/>
  <c r="F20" i="22" s="1"/>
  <c r="F21" i="22" s="1"/>
  <c r="G17" i="22"/>
  <c r="G18" i="22" s="1"/>
  <c r="G20" i="22" s="1"/>
  <c r="G21" i="22" s="1"/>
  <c r="H17" i="22"/>
  <c r="H18" i="22" s="1"/>
  <c r="H20" i="22" s="1"/>
  <c r="H21" i="22" s="1"/>
  <c r="I17" i="22"/>
  <c r="I18" i="22" s="1"/>
  <c r="I20" i="22" s="1"/>
  <c r="I21" i="22" s="1"/>
  <c r="J17" i="22"/>
  <c r="J18" i="22" s="1"/>
  <c r="J20" i="22" s="1"/>
  <c r="J21" i="22" s="1"/>
  <c r="K17" i="22"/>
  <c r="K18" i="22" s="1"/>
  <c r="K20" i="22" s="1"/>
  <c r="K21" i="22" s="1"/>
  <c r="D17" i="17"/>
  <c r="E17" i="17"/>
  <c r="F17" i="17"/>
  <c r="H20" i="17"/>
  <c r="G17" i="17"/>
  <c r="I20" i="17"/>
  <c r="I21" i="17" s="1"/>
  <c r="H17" i="17"/>
  <c r="I17" i="17"/>
  <c r="J17" i="17"/>
  <c r="K17" i="17"/>
  <c r="D17" i="27"/>
  <c r="D18" i="27" s="1"/>
  <c r="F17" i="27"/>
  <c r="F18" i="27" s="1"/>
  <c r="F20" i="27" s="1"/>
  <c r="F21" i="27" s="1"/>
  <c r="G17" i="27"/>
  <c r="G18" i="27" s="1"/>
  <c r="G20" i="27" s="1"/>
  <c r="G21" i="27" s="1"/>
  <c r="H17" i="27"/>
  <c r="H18" i="27" s="1"/>
  <c r="H20" i="27" s="1"/>
  <c r="H21" i="27" s="1"/>
  <c r="I17" i="27"/>
  <c r="I18" i="27" s="1"/>
  <c r="J17" i="27"/>
  <c r="J18" i="27" s="1"/>
  <c r="K17" i="27"/>
  <c r="K18" i="27" s="1"/>
  <c r="D17" i="26"/>
  <c r="D18" i="26" s="1"/>
  <c r="E17" i="26"/>
  <c r="E18" i="26" s="1"/>
  <c r="E20" i="26" s="1"/>
  <c r="E21" i="26" s="1"/>
  <c r="F17" i="26"/>
  <c r="F18" i="26" s="1"/>
  <c r="F20" i="26" s="1"/>
  <c r="F21" i="26" s="1"/>
  <c r="G17" i="26"/>
  <c r="G18" i="26" s="1"/>
  <c r="H17" i="26"/>
  <c r="H18" i="26" s="1"/>
  <c r="H20" i="26" s="1"/>
  <c r="H21" i="26" s="1"/>
  <c r="I17" i="26"/>
  <c r="I18" i="26" s="1"/>
  <c r="I20" i="26" s="1"/>
  <c r="I21" i="26" s="1"/>
  <c r="J17" i="26"/>
  <c r="J18" i="26" s="1"/>
  <c r="J20" i="26" s="1"/>
  <c r="J21" i="26" s="1"/>
  <c r="K17" i="26"/>
  <c r="K18" i="26" s="1"/>
  <c r="K20" i="26" s="1"/>
  <c r="K21" i="26" s="1"/>
  <c r="D17" i="16"/>
  <c r="I20" i="16"/>
  <c r="E17" i="16"/>
  <c r="K20" i="16"/>
  <c r="F17" i="16"/>
  <c r="G17" i="16"/>
  <c r="H17" i="16"/>
  <c r="I17" i="16"/>
  <c r="J17" i="16"/>
  <c r="K17" i="16"/>
  <c r="J20" i="11"/>
  <c r="D17" i="11"/>
  <c r="I20" i="11"/>
  <c r="E17" i="11"/>
  <c r="F17" i="11"/>
  <c r="G17" i="11"/>
  <c r="H17" i="11"/>
  <c r="K17" i="11"/>
  <c r="I20" i="10"/>
  <c r="H20" i="10"/>
  <c r="D17" i="10"/>
  <c r="E17" i="10"/>
  <c r="J17" i="10"/>
  <c r="K17" i="10"/>
  <c r="D17" i="15"/>
  <c r="E17" i="15"/>
  <c r="K20" i="15"/>
  <c r="F17" i="15"/>
  <c r="G17" i="15"/>
  <c r="H17" i="15"/>
  <c r="I17" i="15"/>
  <c r="J17" i="15"/>
  <c r="K17" i="15"/>
  <c r="D17" i="14"/>
  <c r="E17" i="14"/>
  <c r="F17" i="14"/>
  <c r="G17" i="14"/>
  <c r="K20" i="14"/>
  <c r="H17" i="14"/>
  <c r="I17" i="14"/>
  <c r="J17" i="14"/>
  <c r="K17" i="14"/>
  <c r="D17" i="13"/>
  <c r="E17" i="13"/>
  <c r="F17" i="13"/>
  <c r="I20" i="13"/>
  <c r="G17" i="13"/>
  <c r="H17" i="13"/>
  <c r="I17" i="13"/>
  <c r="J17" i="13"/>
  <c r="K17" i="13"/>
  <c r="K17" i="32"/>
  <c r="D17" i="32"/>
  <c r="E17" i="32"/>
  <c r="F17" i="32"/>
  <c r="G17" i="32"/>
  <c r="K20" i="32"/>
  <c r="H17" i="32"/>
  <c r="I17" i="32"/>
  <c r="J17" i="32"/>
  <c r="I20" i="32"/>
  <c r="I21" i="32" s="1"/>
  <c r="E17" i="28"/>
  <c r="F17" i="28"/>
  <c r="G17" i="28"/>
  <c r="K20" i="28"/>
  <c r="H17" i="28"/>
  <c r="I17" i="28"/>
  <c r="J17" i="28"/>
  <c r="H20" i="28"/>
  <c r="H21" i="28" s="1"/>
  <c r="K17" i="28"/>
  <c r="E20" i="28"/>
  <c r="E21" i="28" s="1"/>
  <c r="D19" i="8"/>
  <c r="D20" i="8" s="1"/>
  <c r="V30" i="5"/>
  <c r="X29" i="5"/>
  <c r="E30" i="5"/>
  <c r="K29" i="5"/>
  <c r="H30" i="5"/>
  <c r="J29" i="5"/>
  <c r="J30" i="5"/>
  <c r="I29" i="5"/>
  <c r="G30" i="5"/>
  <c r="G29" i="5"/>
  <c r="K21" i="32"/>
  <c r="H20" i="32"/>
  <c r="H21" i="32" s="1"/>
  <c r="D20" i="32"/>
  <c r="D21" i="32" s="1"/>
  <c r="F20" i="32"/>
  <c r="F21" i="32" s="1"/>
  <c r="J20" i="32"/>
  <c r="J21" i="32" s="1"/>
  <c r="G20" i="32"/>
  <c r="G21" i="32" s="1"/>
  <c r="E21" i="32"/>
  <c r="D20" i="31"/>
  <c r="D21" i="31" s="1"/>
  <c r="G20" i="31"/>
  <c r="G21" i="31" s="1"/>
  <c r="K20" i="30"/>
  <c r="K21" i="30" s="1"/>
  <c r="K20" i="11"/>
  <c r="E20" i="29"/>
  <c r="E21" i="29"/>
  <c r="G20" i="29"/>
  <c r="G21" i="29" s="1"/>
  <c r="I20" i="29"/>
  <c r="I21" i="29" s="1"/>
  <c r="H20" i="29"/>
  <c r="H21" i="29" s="1"/>
  <c r="F20" i="29"/>
  <c r="F21" i="29" s="1"/>
  <c r="I20" i="27"/>
  <c r="I21" i="27" s="1"/>
  <c r="J20" i="27"/>
  <c r="J21" i="27" s="1"/>
  <c r="E9" i="27"/>
  <c r="J20" i="29"/>
  <c r="J21" i="29" s="1"/>
  <c r="F20" i="28"/>
  <c r="F21" i="28" s="1"/>
  <c r="G20" i="28"/>
  <c r="G21" i="28" s="1"/>
  <c r="D20" i="28"/>
  <c r="I20" i="28"/>
  <c r="I21" i="28" s="1"/>
  <c r="J20" i="28"/>
  <c r="J21" i="28" s="1"/>
  <c r="K21" i="28"/>
  <c r="D21" i="28"/>
  <c r="K20" i="27"/>
  <c r="K21" i="27" s="1"/>
  <c r="D20" i="27"/>
  <c r="D21" i="27" s="1"/>
  <c r="D20" i="26"/>
  <c r="D21" i="26" s="1"/>
  <c r="G20" i="26"/>
  <c r="G21" i="26" s="1"/>
  <c r="F20" i="24"/>
  <c r="F21" i="24" s="1"/>
  <c r="G20" i="24"/>
  <c r="G21" i="24" s="1"/>
  <c r="D20" i="24"/>
  <c r="D21" i="24" s="1"/>
  <c r="H20" i="24"/>
  <c r="H21" i="24" s="1"/>
  <c r="I20" i="24"/>
  <c r="I21" i="24" s="1"/>
  <c r="J20" i="24"/>
  <c r="J21" i="24" s="1"/>
  <c r="D22" i="23"/>
  <c r="D23" i="23" s="1"/>
  <c r="F22" i="23"/>
  <c r="F23" i="23" s="1"/>
  <c r="G22" i="23"/>
  <c r="G23" i="23" s="1"/>
  <c r="E21" i="21"/>
  <c r="H20" i="21"/>
  <c r="H21" i="21" s="1"/>
  <c r="J20" i="21"/>
  <c r="J21" i="21" s="1"/>
  <c r="I20" i="21"/>
  <c r="I21" i="21" s="1"/>
  <c r="K20" i="21"/>
  <c r="K21" i="21" s="1"/>
  <c r="D20" i="19"/>
  <c r="D21" i="19" s="1"/>
  <c r="E20" i="19"/>
  <c r="E21" i="19" s="1"/>
  <c r="F20" i="19"/>
  <c r="F21" i="19" s="1"/>
  <c r="H21" i="17"/>
  <c r="J21" i="17"/>
  <c r="D20" i="17"/>
  <c r="D21" i="17" s="1"/>
  <c r="E20" i="17"/>
  <c r="E21" i="17" s="1"/>
  <c r="F20" i="17"/>
  <c r="F21" i="17" s="1"/>
  <c r="G20" i="17"/>
  <c r="G21" i="17" s="1"/>
  <c r="K20" i="17"/>
  <c r="K21" i="17" s="1"/>
  <c r="I21" i="16"/>
  <c r="J21" i="16"/>
  <c r="D20" i="16"/>
  <c r="D21" i="16" s="1"/>
  <c r="E20" i="16"/>
  <c r="F20" i="16"/>
  <c r="F21" i="16" s="1"/>
  <c r="G20" i="16"/>
  <c r="G21" i="16" s="1"/>
  <c r="H20" i="16"/>
  <c r="H21" i="16" s="1"/>
  <c r="E21" i="16"/>
  <c r="K21" i="16"/>
  <c r="J21" i="15"/>
  <c r="I21" i="15"/>
  <c r="K21" i="15"/>
  <c r="D20" i="15"/>
  <c r="D21" i="15" s="1"/>
  <c r="E20" i="15"/>
  <c r="E21" i="15" s="1"/>
  <c r="F20" i="15"/>
  <c r="F21" i="15" s="1"/>
  <c r="G20" i="15"/>
  <c r="G21" i="15" s="1"/>
  <c r="H21" i="15"/>
  <c r="H21" i="14"/>
  <c r="I21" i="14"/>
  <c r="D20" i="14"/>
  <c r="E20" i="14"/>
  <c r="F20" i="14"/>
  <c r="F21" i="14" s="1"/>
  <c r="G20" i="14"/>
  <c r="G21" i="14" s="1"/>
  <c r="J20" i="14"/>
  <c r="J21" i="14" s="1"/>
  <c r="K21" i="14"/>
  <c r="D21" i="14"/>
  <c r="E21" i="14"/>
  <c r="F21" i="13"/>
  <c r="H21" i="13"/>
  <c r="I21" i="13"/>
  <c r="J20" i="13"/>
  <c r="J21" i="13" s="1"/>
  <c r="K20" i="13"/>
  <c r="K21" i="13" s="1"/>
  <c r="D21" i="13"/>
  <c r="E21" i="13"/>
  <c r="I19" i="8"/>
  <c r="I20" i="8" s="1"/>
  <c r="D20" i="11"/>
  <c r="D21" i="11" s="1"/>
  <c r="G20" i="11"/>
  <c r="G21" i="11" s="1"/>
  <c r="H21" i="11"/>
  <c r="I21" i="11"/>
  <c r="J21" i="11"/>
  <c r="K21" i="11"/>
  <c r="E21" i="11"/>
  <c r="F21" i="11"/>
  <c r="H19" i="8"/>
  <c r="H20" i="8" s="1"/>
  <c r="F19" i="8"/>
  <c r="F20" i="8" s="1"/>
  <c r="G19" i="8"/>
  <c r="G20" i="8" s="1"/>
  <c r="I21" i="10"/>
  <c r="J21" i="10"/>
  <c r="K21" i="10"/>
  <c r="E20" i="10"/>
  <c r="E21" i="10" s="1"/>
  <c r="F20" i="10"/>
  <c r="F21" i="10" s="1"/>
  <c r="G20" i="10"/>
  <c r="G21" i="10" s="1"/>
  <c r="D20" i="10"/>
  <c r="D21" i="10" s="1"/>
  <c r="H21" i="10"/>
  <c r="E19" i="8"/>
  <c r="E20" i="8" s="1"/>
  <c r="K20" i="8"/>
  <c r="N28" i="7"/>
  <c r="N27" i="7"/>
  <c r="L6" i="7"/>
  <c r="Q22" i="5"/>
  <c r="Q20" i="5"/>
  <c r="Y20" i="5"/>
  <c r="Y22" i="5" s="1"/>
  <c r="AB20" i="5"/>
  <c r="AB22" i="5" s="1"/>
  <c r="AB21" i="5" s="1"/>
  <c r="AA20" i="5"/>
  <c r="AA22" i="5" s="1"/>
  <c r="Z20" i="5"/>
  <c r="Z22" i="5" s="1"/>
  <c r="X20" i="5"/>
  <c r="X22" i="5" s="1"/>
  <c r="W20" i="5"/>
  <c r="W22" i="5" s="1"/>
  <c r="V20" i="5"/>
  <c r="V22" i="5" s="1"/>
  <c r="U20" i="5"/>
  <c r="U22" i="5" s="1"/>
  <c r="S20" i="5"/>
  <c r="S22" i="5" s="1"/>
  <c r="T20" i="5"/>
  <c r="T22" i="5" s="1"/>
  <c r="R20" i="5"/>
  <c r="R22" i="5" s="1"/>
  <c r="O20" i="5"/>
  <c r="O22" i="5" s="1"/>
  <c r="N20" i="5"/>
  <c r="N22" i="5" s="1"/>
  <c r="L20" i="5"/>
  <c r="L22" i="5" s="1"/>
  <c r="M20" i="5"/>
  <c r="M22" i="5" s="1"/>
  <c r="K20" i="5"/>
  <c r="K22" i="5" s="1"/>
  <c r="J20" i="5"/>
  <c r="J22" i="5" s="1"/>
  <c r="I20" i="5"/>
  <c r="I22" i="5" s="1"/>
  <c r="H20" i="5"/>
  <c r="H22" i="5" s="1"/>
  <c r="F20" i="5"/>
  <c r="F22" i="5" s="1"/>
  <c r="E20" i="5"/>
  <c r="E22" i="5" s="1"/>
  <c r="D20" i="5"/>
  <c r="D22" i="5" s="1"/>
  <c r="D21" i="5" s="1"/>
  <c r="C20" i="5"/>
  <c r="C22" i="5" s="1"/>
  <c r="C21" i="5" s="1"/>
  <c r="B20" i="5"/>
  <c r="B22" i="5" s="1"/>
  <c r="G20" i="5"/>
  <c r="G22" i="5" s="1"/>
  <c r="F21" i="35" l="1"/>
  <c r="K21" i="35"/>
  <c r="H21" i="35"/>
  <c r="J21" i="35"/>
  <c r="E17" i="27"/>
  <c r="E18" i="27" s="1"/>
  <c r="E20" i="27" s="1"/>
  <c r="E21" i="27" s="1"/>
</calcChain>
</file>

<file path=xl/sharedStrings.xml><?xml version="1.0" encoding="utf-8"?>
<sst xmlns="http://schemas.openxmlformats.org/spreadsheetml/2006/main" count="2551" uniqueCount="316">
  <si>
    <t>Kosten</t>
  </si>
  <si>
    <t>variabel</t>
  </si>
  <si>
    <t>Ertrag</t>
  </si>
  <si>
    <t>Saatgut (€/ha)</t>
  </si>
  <si>
    <t>fix</t>
  </si>
  <si>
    <t>Maschinenkosten
Lohnkosten
Sonstige Kosten /ha</t>
  </si>
  <si>
    <t>DB</t>
  </si>
  <si>
    <t>Nematoden</t>
  </si>
  <si>
    <t>Klasse</t>
  </si>
  <si>
    <t>Typ</t>
  </si>
  <si>
    <t>Heterodera schachtii</t>
  </si>
  <si>
    <t>Globodera ssp.</t>
  </si>
  <si>
    <t>Pratylenchus penetrans</t>
  </si>
  <si>
    <t>Ditylenchus dispsaci</t>
  </si>
  <si>
    <t>Meloidogyne hapla</t>
  </si>
  <si>
    <t>Meloidogyne chitwoodi</t>
  </si>
  <si>
    <t>Trichodorus ssp / paratrichidorus</t>
  </si>
  <si>
    <t>Eisenfleckigkeit (Kartoffeln) TVR</t>
  </si>
  <si>
    <t>ZF</t>
  </si>
  <si>
    <t>Kohlhernie</t>
  </si>
  <si>
    <t>Virus</t>
  </si>
  <si>
    <t>Parasit</t>
  </si>
  <si>
    <t>Legende 
(-1: Yield Loss
0: vermehrt
1: neutral
2: bekämpft</t>
  </si>
  <si>
    <t>Gräser</t>
  </si>
  <si>
    <t>Einjähriges
Weidelgras</t>
  </si>
  <si>
    <t>Welsches 
Weidelgras</t>
  </si>
  <si>
    <t>Futterroggen</t>
  </si>
  <si>
    <t>Rauhafer</t>
  </si>
  <si>
    <t>Getreide</t>
  </si>
  <si>
    <t>Großkörnige
Leguminosen</t>
  </si>
  <si>
    <t>Ackerbohne</t>
  </si>
  <si>
    <t>Futtererbse</t>
  </si>
  <si>
    <t>Lupine</t>
  </si>
  <si>
    <t>Saatwicke</t>
  </si>
  <si>
    <t>Zottelwicke</t>
  </si>
  <si>
    <t>Kleinkörnige Leguminosen</t>
  </si>
  <si>
    <t>Krankheit</t>
  </si>
  <si>
    <t>Perserklee</t>
  </si>
  <si>
    <t>Alexandriner-
klee</t>
  </si>
  <si>
    <t>Inkarnatklee</t>
  </si>
  <si>
    <t>Weißklee</t>
  </si>
  <si>
    <t>Serradella</t>
  </si>
  <si>
    <t>Kreuzblütler</t>
  </si>
  <si>
    <t>Winterraps</t>
  </si>
  <si>
    <t>Sommerraps</t>
  </si>
  <si>
    <t>Futterkohl</t>
  </si>
  <si>
    <t>Stoppelrübe</t>
  </si>
  <si>
    <t>Winterrübse</t>
  </si>
  <si>
    <t>Ölrettich 
(nemaresistent)</t>
  </si>
  <si>
    <t>Senf (nemaresistent)</t>
  </si>
  <si>
    <t>Sonstige ZF</t>
  </si>
  <si>
    <t>Phacelia</t>
  </si>
  <si>
    <t>Buchweizen</t>
  </si>
  <si>
    <t>Ramtillkraut</t>
  </si>
  <si>
    <t>Sonnenblumen</t>
  </si>
  <si>
    <t>Start</t>
  </si>
  <si>
    <t>Ende</t>
  </si>
  <si>
    <t xml:space="preserve">Legende: 
</t>
  </si>
  <si>
    <t>Ende Juli</t>
  </si>
  <si>
    <t>Anfang September</t>
  </si>
  <si>
    <t>Mitte September</t>
  </si>
  <si>
    <t>Welsches 
Weidelgras (Herbst)</t>
  </si>
  <si>
    <t>Welsches 
Weidelgras (Frühjahr)</t>
  </si>
  <si>
    <t>Anfang Juli</t>
  </si>
  <si>
    <t>Mitte Juli</t>
  </si>
  <si>
    <t>Inkarnatklee (Herbst)</t>
  </si>
  <si>
    <t>Inkarnatklee (Frühjahr)</t>
  </si>
  <si>
    <t>Winterraps (Herbst)</t>
  </si>
  <si>
    <t>Winterraps (Frühjahr)</t>
  </si>
  <si>
    <t>Anfang August</t>
  </si>
  <si>
    <t>Winterrübse (Herbst)</t>
  </si>
  <si>
    <t>Winterrübse (Winter)</t>
  </si>
  <si>
    <t>Anfang Oktober</t>
  </si>
  <si>
    <t>Mitte August</t>
  </si>
  <si>
    <t>Ende August</t>
  </si>
  <si>
    <t>Ernte nach n Tagen</t>
  </si>
  <si>
    <t>Sommer/Winterfrucht?</t>
  </si>
  <si>
    <t>Sommer</t>
  </si>
  <si>
    <t>Winter</t>
  </si>
  <si>
    <t>https://www.landwirtschaftskammer.de/riswick/pdf/fb-zwischenfruechte-2012.pdf</t>
  </si>
  <si>
    <t>ungefähres erstes Erntedatum</t>
  </si>
  <si>
    <t>Anfang April</t>
  </si>
  <si>
    <t>Mitte Oktober</t>
  </si>
  <si>
    <t>Anfang November</t>
  </si>
  <si>
    <t>Anfang Mai</t>
  </si>
  <si>
    <t>Mitte April</t>
  </si>
  <si>
    <t>TM-Ertrag (dt/ha) min.</t>
  </si>
  <si>
    <t>TM-Ertrag (dt/ha) max.</t>
  </si>
  <si>
    <t>Saatgutbedarf (kg/ha)</t>
  </si>
  <si>
    <t>Saatgutpreis (€/ha)</t>
  </si>
  <si>
    <t>https://www.bwsb.at/media.php?filename=download%3D%2F2021.06.23%2F1624430138510944.pdf&amp;rn=2021_06_17_Begr%C3%BCnungsliste_2021_final.pdf</t>
  </si>
  <si>
    <t>Wurzeltyp</t>
  </si>
  <si>
    <t>tief</t>
  </si>
  <si>
    <t>Saatgutpreis (€/kg) 2021</t>
  </si>
  <si>
    <t>Saatgutpreis (€/kg) 2022</t>
  </si>
  <si>
    <t>Feuchtigkeitspräferenz</t>
  </si>
  <si>
    <t>feucht</t>
  </si>
  <si>
    <t>Bodenpräferenz Minimum</t>
  </si>
  <si>
    <t>gering</t>
  </si>
  <si>
    <t>Luzerne (rhizo)</t>
  </si>
  <si>
    <t>trocken</t>
  </si>
  <si>
    <t>egal</t>
  </si>
  <si>
    <t>Diplomarbeit_-_Einfluss_von_Zwischenfrüchten_auf_bodenbürtige_Treibhausgasemissionen_sowie_auf_ausgewählte_Parameter_des_Stickstoffkreislaufes</t>
  </si>
  <si>
    <t>Stickstoffbedarf</t>
  </si>
  <si>
    <t>Wintergerste</t>
  </si>
  <si>
    <t>Silomais</t>
  </si>
  <si>
    <t>BODEN.WASSER.SCHUTZ.BLATT 2020 02</t>
  </si>
  <si>
    <t>Körnererbse</t>
  </si>
  <si>
    <t>Sojabohne</t>
  </si>
  <si>
    <t>Ölkürbis</t>
  </si>
  <si>
    <t>Leguminose</t>
  </si>
  <si>
    <t>Ertragserwartung</t>
  </si>
  <si>
    <t>Mitte Mai</t>
  </si>
  <si>
    <t>Winterweizen</t>
  </si>
  <si>
    <t>niedrig</t>
  </si>
  <si>
    <t>mittel</t>
  </si>
  <si>
    <t>hoch</t>
  </si>
  <si>
    <t>sehr hoch</t>
  </si>
  <si>
    <t>extrem hoch</t>
  </si>
  <si>
    <t>Gründigkeit</t>
  </si>
  <si>
    <t>sehr leicht</t>
  </si>
  <si>
    <t>mittelschwer</t>
  </si>
  <si>
    <t>Bodenschwere</t>
  </si>
  <si>
    <t>sehr schwer</t>
  </si>
  <si>
    <t>N-Mineralisierungspotenzial</t>
  </si>
  <si>
    <t>Wasserverhältnisse</t>
  </si>
  <si>
    <t>sehr trocken</t>
  </si>
  <si>
    <t>Nitratkorrektur</t>
  </si>
  <si>
    <t>Hirse</t>
  </si>
  <si>
    <t>Wasser-Schutz-Blätter_2012 01</t>
  </si>
  <si>
    <t>tiefgründig</t>
  </si>
  <si>
    <t>Korbblütler</t>
  </si>
  <si>
    <t>leicht</t>
  </si>
  <si>
    <t>mittel-schwer</t>
  </si>
  <si>
    <t>Gewässerschutz durch Zwischenfruchtanbau - oö wasserschutzberatung</t>
  </si>
  <si>
    <t>Schneckenanfälligkeit</t>
  </si>
  <si>
    <t>stark</t>
  </si>
  <si>
    <t>Stickstoffmenge</t>
  </si>
  <si>
    <t>N-Aufnahme</t>
  </si>
  <si>
    <t>Kohlrübe</t>
  </si>
  <si>
    <t>Keine Düngung</t>
  </si>
  <si>
    <t>Rotklee -2jährig</t>
  </si>
  <si>
    <t>Kleegras-2jährig</t>
  </si>
  <si>
    <t>Brache</t>
  </si>
  <si>
    <t>Luzerne 2-jährig</t>
  </si>
  <si>
    <t>Kleegras -1jährig</t>
  </si>
  <si>
    <t>Kleegras -2jährig</t>
  </si>
  <si>
    <t>Winterroggen</t>
  </si>
  <si>
    <t>Weidelgras</t>
  </si>
  <si>
    <t>Rotklee</t>
  </si>
  <si>
    <t>Freisetzung</t>
  </si>
  <si>
    <t>Kleegras (Gründündung)</t>
  </si>
  <si>
    <t>früher Umbruch</t>
  </si>
  <si>
    <t>70 kg N / ha</t>
  </si>
  <si>
    <t>generelle Freisetzung bei Herbstumbruch</t>
  </si>
  <si>
    <t>N kg / ha</t>
  </si>
  <si>
    <t>Herbstumbruch mehrjähriger Kleegrasbestände</t>
  </si>
  <si>
    <t>Baselines (N_Min im Herbst gemessen)</t>
  </si>
  <si>
    <t>Baselines (N_Min im Frühjahr gemessen)</t>
  </si>
  <si>
    <t>Frühumbruch mehrjähriger Kleegrasbestände NMin</t>
  </si>
  <si>
    <t>Frühumbruch mehrjähriger Kleegrasbestände Aufwuchs</t>
  </si>
  <si>
    <t>Ertrag Weißkohl kg/ha</t>
  </si>
  <si>
    <t>Ertrag WK %</t>
  </si>
  <si>
    <t>Nmin_Rest nach Weißkohl</t>
  </si>
  <si>
    <t>30-50</t>
  </si>
  <si>
    <t>Ertrag Weißkohl nach N-Angebot (kg N / ha)</t>
  </si>
  <si>
    <t>N-Nachlieferung des Bodens (pro Woche)</t>
  </si>
  <si>
    <t>N-Nachlieferung für 2. Kultur</t>
  </si>
  <si>
    <t>N-Nachlieferung für 1. Kultur</t>
  </si>
  <si>
    <t>40-120</t>
  </si>
  <si>
    <t>Bio-Winterweizen</t>
  </si>
  <si>
    <t>t/ha</t>
  </si>
  <si>
    <t>Düngebedarf</t>
  </si>
  <si>
    <t>Düngekosten</t>
  </si>
  <si>
    <t>€ / kg N</t>
  </si>
  <si>
    <t>Verkaufspreis</t>
  </si>
  <si>
    <t>Verkaufsertrag</t>
  </si>
  <si>
    <t>€/ha</t>
  </si>
  <si>
    <t>€/t</t>
  </si>
  <si>
    <t>gesamt</t>
  </si>
  <si>
    <t>Gebiet</t>
  </si>
  <si>
    <t>Hochalpengebiet</t>
  </si>
  <si>
    <t>Voralpengebiet</t>
  </si>
  <si>
    <t>Alpenostrand</t>
  </si>
  <si>
    <t>WaldMühlviertel</t>
  </si>
  <si>
    <t>Kärntnerbecken</t>
  </si>
  <si>
    <t>Alpenvorland</t>
  </si>
  <si>
    <t>Nordost Flach</t>
  </si>
  <si>
    <t>Südost Flach</t>
  </si>
  <si>
    <t>Stickstoffverluste</t>
  </si>
  <si>
    <t>Sommerhalbjahr</t>
  </si>
  <si>
    <t>ohne ZF</t>
  </si>
  <si>
    <t>8-16kg/ha</t>
  </si>
  <si>
    <t>19-32 kg / ha</t>
  </si>
  <si>
    <t>jährlich</t>
  </si>
  <si>
    <t>15-27</t>
  </si>
  <si>
    <t>34-60</t>
  </si>
  <si>
    <t>geeignet</t>
  </si>
  <si>
    <t>neutral</t>
  </si>
  <si>
    <t>ungeeignet</t>
  </si>
  <si>
    <t>Erträge nach Zwischenfrucht (Schätzung)</t>
  </si>
  <si>
    <t>Stickstoff generell</t>
  </si>
  <si>
    <t>Baseline (kg/ha)</t>
  </si>
  <si>
    <t>https://www.lfl.bayern.de/iab/duengung/136992/index.php</t>
  </si>
  <si>
    <t>https://raumberg-gumpenstein.at/jdownloads/Tagungen/Lysimetertagung/Lysimetertagung_1999/2l_1999_boehm.pdf</t>
  </si>
  <si>
    <t xml:space="preserve"> </t>
  </si>
  <si>
    <t>Effekt WZF vs. SZF</t>
  </si>
  <si>
    <t>Trockenheit</t>
  </si>
  <si>
    <t>winterhart</t>
  </si>
  <si>
    <t>abfrierend</t>
  </si>
  <si>
    <t>Feucht</t>
  </si>
  <si>
    <t>Ertrag Nachfrucht</t>
  </si>
  <si>
    <t>sehr geeignet</t>
  </si>
  <si>
    <t>Nachfrucht</t>
  </si>
  <si>
    <t>Winterung</t>
  </si>
  <si>
    <t>Sommerung</t>
  </si>
  <si>
    <t>Winterhärte</t>
  </si>
  <si>
    <t>Zwischenfrucht (Effekte multiplikativ)</t>
  </si>
  <si>
    <t>keine /ungeeignet</t>
  </si>
  <si>
    <t>kg N / ha</t>
  </si>
  <si>
    <t>Düngung</t>
  </si>
  <si>
    <t>Hauptfrüchte Stickstoff</t>
  </si>
  <si>
    <t>Schema zur Düngebedarfsermittlung für Stickstoff</t>
  </si>
  <si>
    <t>https://www.lfl.bayern.de/mam/cms07/publikationen/daten/informationen/2022_08_iab_info_gelbes_heft.pdf</t>
  </si>
  <si>
    <t>Index</t>
  </si>
  <si>
    <t>kg N /ha</t>
  </si>
  <si>
    <t>Stickstoffbedarfswert</t>
  </si>
  <si>
    <t>Zu/Abschlag nach Ertragsdifferenz</t>
  </si>
  <si>
    <t>abhängig von</t>
  </si>
  <si>
    <t>Hauptfrucht</t>
  </si>
  <si>
    <t>Hauptfruchtertrag</t>
  </si>
  <si>
    <t>pauschal</t>
  </si>
  <si>
    <t>Abschlag durch vorhandenes NMin</t>
  </si>
  <si>
    <t>Nmin nach Vorfrucht</t>
  </si>
  <si>
    <t>N-Nachlieferung aus Bodenvorrat</t>
  </si>
  <si>
    <t>Humusgehalt &gt; 4%?</t>
  </si>
  <si>
    <t>Abschlag Vorfrucht</t>
  </si>
  <si>
    <t>Vorfruchttyp</t>
  </si>
  <si>
    <t>Abschlag Zwischenfrucht</t>
  </si>
  <si>
    <t>Leguminose ja/nein</t>
  </si>
  <si>
    <t>Abschlag N-Fixierung durch Leguminosen</t>
  </si>
  <si>
    <t>Abschlag N-Nachlieferung aus org. Düngung der Vorfrucht</t>
  </si>
  <si>
    <t>Sommerweizen</t>
  </si>
  <si>
    <t>Sommergerste</t>
  </si>
  <si>
    <t>Körnermais</t>
  </si>
  <si>
    <t>Zuckerrüben</t>
  </si>
  <si>
    <t>Bio-Wintergerste</t>
  </si>
  <si>
    <t>N kg / t</t>
  </si>
  <si>
    <t>Dungebedarf</t>
  </si>
  <si>
    <t>Ertrag AT</t>
  </si>
  <si>
    <t>N-Nachlieferung</t>
  </si>
  <si>
    <t>Bio-Zuckerrübe</t>
  </si>
  <si>
    <t>Bio-Sojabohne</t>
  </si>
  <si>
    <t>Bio-Ackerbohne</t>
  </si>
  <si>
    <t>Bio-Körnererbse</t>
  </si>
  <si>
    <t>Bio-Sonnenblume</t>
  </si>
  <si>
    <t>Bio-Körnermais</t>
  </si>
  <si>
    <t>Bio-Speisehafer</t>
  </si>
  <si>
    <t>Bio-Winterroggen</t>
  </si>
  <si>
    <t>Bio-Triticale</t>
  </si>
  <si>
    <t>Bio-Speisedinkel</t>
  </si>
  <si>
    <t>Bio-Sommergerste</t>
  </si>
  <si>
    <t>Bio-Speisekartoffel früh</t>
  </si>
  <si>
    <t xml:space="preserve">Ausschuss </t>
  </si>
  <si>
    <t>%</t>
  </si>
  <si>
    <t>Verkaufspreis Ausschuss</t>
  </si>
  <si>
    <t>N-Fixierung</t>
  </si>
  <si>
    <t>N-Fixierung pro dt TM variabel</t>
  </si>
  <si>
    <t>Standardbetrag</t>
  </si>
  <si>
    <t>seicht</t>
  </si>
  <si>
    <t>https://www.land-oberoesterreich.gv.at/Mediendateien/Formulare/Dokumente%20UWD%20Abt_WW/2012_LysimeterO%C3%96_Jahresbericht12.pdf</t>
  </si>
  <si>
    <t>kg N / t</t>
  </si>
  <si>
    <t>kg / t</t>
  </si>
  <si>
    <t>Bio-Kleegras 2J</t>
  </si>
  <si>
    <r>
      <t>Ertrag AT</t>
    </r>
    <r>
      <rPr>
        <b/>
        <sz val="11"/>
        <color theme="1"/>
        <rFont val="Calibri"/>
        <family val="2"/>
        <scheme val="minor"/>
      </rPr>
      <t xml:space="preserve"> Frischmasse</t>
    </r>
  </si>
  <si>
    <t>Bio-Luzerne 2J</t>
  </si>
  <si>
    <t>Bio-Futterlupine</t>
  </si>
  <si>
    <t>Durum</t>
  </si>
  <si>
    <t>Silomais (Futter)</t>
  </si>
  <si>
    <t>Konventionelle Hirse</t>
  </si>
  <si>
    <t>Konventioneller Winterraps</t>
  </si>
  <si>
    <t>https://www.lksh.de/fileadmin/user_upload/Zwischenfruechte_Broschuere_Arten_und_Anbau.pdf</t>
  </si>
  <si>
    <t xml:space="preserve">Winter </t>
  </si>
  <si>
    <t>https://llg.sachsen-anhalt.de/fileadmin/Bibliothek/Politik_und_Verwaltung/MLU/LLFG/Dokumente/04_themen/pfl_ernaehr_duengung/Richtwerte/2019_rw_tab2.pdf</t>
  </si>
  <si>
    <t>Stickstoffaufnahme SA min</t>
  </si>
  <si>
    <t>Stickstoffaufnahme SA max</t>
  </si>
  <si>
    <t>Stickstoffaufnahme SA (exkl. N-Fix)</t>
  </si>
  <si>
    <t>Pflanze</t>
  </si>
  <si>
    <t>Ansaat spätestens</t>
  </si>
  <si>
    <t>Ernte frühestens</t>
  </si>
  <si>
    <t>Kleegras</t>
  </si>
  <si>
    <t>Luzerne</t>
  </si>
  <si>
    <t>Futterlupine</t>
  </si>
  <si>
    <t>Winterhartweizen</t>
  </si>
  <si>
    <t>Winterdinkel</t>
  </si>
  <si>
    <t>Wintertriticale</t>
  </si>
  <si>
    <t>Sommerhafer</t>
  </si>
  <si>
    <t>Kartoffeln</t>
  </si>
  <si>
    <t>Maximaldüngung: 170kg N / ha</t>
  </si>
  <si>
    <t>https://www.kws.com/at/de/beratung/aussaat/zuckerruebe/#2013781</t>
  </si>
  <si>
    <t>https://www.kws.com/at/de/beratung/aussaat/mais/</t>
  </si>
  <si>
    <t>Mitte November</t>
  </si>
  <si>
    <t>Maschinenkosten €/ha</t>
  </si>
  <si>
    <t>Ende April</t>
  </si>
  <si>
    <t>Ende März</t>
  </si>
  <si>
    <t>Anfang Juni</t>
  </si>
  <si>
    <t>Ende Mai</t>
  </si>
  <si>
    <t>Phosphatkosten</t>
  </si>
  <si>
    <t>Kaliumkosten</t>
  </si>
  <si>
    <t>P2O5 kg / t</t>
  </si>
  <si>
    <t>P2O5 kg / ha</t>
  </si>
  <si>
    <t>€ / kg P2O5</t>
  </si>
  <si>
    <t>K2O kg / t</t>
  </si>
  <si>
    <t>K2O kg / ha</t>
  </si>
  <si>
    <t>€ / kg K2O</t>
  </si>
  <si>
    <t>flach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</si>
</sst>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ource Sans Pro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3" xfId="0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/>
    <xf numFmtId="0" fontId="3" fillId="9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4" fontId="3" fillId="9" borderId="1" xfId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44" fontId="3" fillId="10" borderId="1" xfId="1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7" borderId="0" xfId="0" applyFill="1"/>
    <xf numFmtId="0" fontId="6" fillId="12" borderId="0" xfId="0" applyFont="1" applyFill="1" applyAlignment="1">
      <alignment horizontal="left"/>
    </xf>
    <xf numFmtId="9" fontId="0" fillId="0" borderId="1" xfId="0" applyNumberFormat="1" applyBorder="1"/>
    <xf numFmtId="0" fontId="2" fillId="8" borderId="0" xfId="0" applyFont="1" applyFill="1"/>
    <xf numFmtId="0" fontId="2" fillId="0" borderId="3" xfId="0" applyFont="1" applyBorder="1" applyAlignment="1">
      <alignment wrapText="1"/>
    </xf>
    <xf numFmtId="0" fontId="0" fillId="0" borderId="5" xfId="0" applyBorder="1"/>
    <xf numFmtId="44" fontId="3" fillId="5" borderId="1" xfId="1" applyFont="1" applyFill="1" applyBorder="1" applyAlignment="1">
      <alignment horizontal="center" vertical="center" wrapText="1"/>
    </xf>
    <xf numFmtId="0" fontId="3" fillId="1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44" fontId="3" fillId="10" borderId="0" xfId="1" applyFont="1" applyFill="1"/>
    <xf numFmtId="0" fontId="3" fillId="1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2" fontId="0" fillId="0" borderId="0" xfId="0" applyNumberFormat="1"/>
    <xf numFmtId="2" fontId="3" fillId="5" borderId="1" xfId="0" applyNumberFormat="1" applyFont="1" applyFill="1" applyBorder="1"/>
    <xf numFmtId="0" fontId="0" fillId="7" borderId="1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11" borderId="4" xfId="0" applyFont="1" applyFill="1" applyBorder="1" applyAlignment="1">
      <alignment horizontal="center" vertical="center" wrapText="1"/>
    </xf>
    <xf numFmtId="4" fontId="3" fillId="0" borderId="0" xfId="0" applyNumberFormat="1" applyFont="1"/>
    <xf numFmtId="9" fontId="3" fillId="10" borderId="0" xfId="2" applyFont="1" applyFill="1" applyBorder="1" applyAlignment="1">
      <alignment horizontal="center" vertical="center" wrapText="1"/>
    </xf>
    <xf numFmtId="4" fontId="3" fillId="10" borderId="0" xfId="0" applyNumberFormat="1" applyFont="1" applyFill="1"/>
    <xf numFmtId="2" fontId="3" fillId="10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/>
    <xf numFmtId="2" fontId="3" fillId="9" borderId="4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4" borderId="0" xfId="0" applyFill="1"/>
    <xf numFmtId="0" fontId="9" fillId="9" borderId="4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44" fontId="2" fillId="0" borderId="1" xfId="1" applyFont="1" applyBorder="1"/>
    <xf numFmtId="2" fontId="3" fillId="15" borderId="0" xfId="0" applyNumberFormat="1" applyFont="1" applyFill="1"/>
    <xf numFmtId="2" fontId="3" fillId="15" borderId="1" xfId="0" applyNumberFormat="1" applyFont="1" applyFill="1" applyBorder="1"/>
    <xf numFmtId="2" fontId="0" fillId="10" borderId="1" xfId="1" applyNumberFormat="1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10" fillId="0" borderId="0" xfId="3"/>
    <xf numFmtId="0" fontId="2" fillId="10" borderId="0" xfId="0" applyFont="1" applyFill="1"/>
    <xf numFmtId="0" fontId="2" fillId="10" borderId="1" xfId="0" applyFont="1" applyFill="1" applyBorder="1"/>
    <xf numFmtId="44" fontId="3" fillId="10" borderId="1" xfId="1" applyFont="1" applyFill="1" applyBorder="1" applyAlignment="1">
      <alignment horizontal="right" vertical="center" wrapText="1"/>
    </xf>
    <xf numFmtId="2" fontId="3" fillId="10" borderId="1" xfId="1" applyNumberFormat="1" applyFont="1" applyFill="1" applyBorder="1" applyAlignment="1">
      <alignment horizontal="right" vertical="center" wrapText="1"/>
    </xf>
    <xf numFmtId="44" fontId="3" fillId="9" borderId="1" xfId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4" fontId="3" fillId="10" borderId="1" xfId="1" applyFont="1" applyFill="1" applyBorder="1" applyAlignment="1">
      <alignment horizontal="right"/>
    </xf>
    <xf numFmtId="44" fontId="3" fillId="9" borderId="1" xfId="0" applyNumberFormat="1" applyFont="1" applyFill="1" applyBorder="1" applyAlignment="1">
      <alignment horizontal="right" vertical="center" wrapText="1"/>
    </xf>
    <xf numFmtId="44" fontId="0" fillId="10" borderId="1" xfId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4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right"/>
    </xf>
    <xf numFmtId="2" fontId="3" fillId="5" borderId="1" xfId="1" applyNumberFormat="1" applyFont="1" applyFill="1" applyBorder="1" applyAlignment="1">
      <alignment horizontal="right" vertical="center" wrapText="1"/>
    </xf>
    <xf numFmtId="44" fontId="3" fillId="5" borderId="1" xfId="1" applyFont="1" applyFill="1" applyBorder="1" applyAlignment="1">
      <alignment horizontal="right" vertical="center" wrapText="1"/>
    </xf>
    <xf numFmtId="0" fontId="0" fillId="10" borderId="0" xfId="0" applyFill="1" applyAlignment="1">
      <alignment horizontal="right"/>
    </xf>
    <xf numFmtId="165" fontId="3" fillId="5" borderId="1" xfId="1" applyNumberFormat="1" applyFont="1" applyFill="1" applyBorder="1" applyAlignment="1">
      <alignment horizontal="right" vertical="center" wrapText="1"/>
    </xf>
    <xf numFmtId="1" fontId="3" fillId="10" borderId="1" xfId="1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2" xfId="0" applyFont="1" applyBorder="1"/>
    <xf numFmtId="0" fontId="3" fillId="0" borderId="1" xfId="0" applyFont="1" applyBorder="1"/>
    <xf numFmtId="0" fontId="0" fillId="10" borderId="1" xfId="0" applyFill="1" applyBorder="1" applyAlignment="1">
      <alignment horizontal="right"/>
    </xf>
    <xf numFmtId="44" fontId="0" fillId="0" borderId="1" xfId="0" applyNumberFormat="1" applyBorder="1"/>
    <xf numFmtId="164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10" fillId="7" borderId="0" xfId="3" applyFill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7" xfId="0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right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lg.sachsen-anhalt.de/fileadmin/Bibliothek/Politik_und_Verwaltung/MLU/LLFG/Dokumente/04_themen/pfl_ernaehr_duengung/Richtwerte/2019_rw_tab2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fl.bayern.de/mam/cms07/publikationen/daten/informationen/2022_08_iab_info_gelbes_hef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0218-DA89-4895-AB3B-386E5B95561E}">
  <dimension ref="A3:K31"/>
  <sheetViews>
    <sheetView tabSelected="1" workbookViewId="0">
      <selection activeCell="D19" sqref="D19:K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274</v>
      </c>
      <c r="B4" s="5"/>
      <c r="C4" s="5" t="s">
        <v>171</v>
      </c>
      <c r="D4" s="60">
        <v>20.3</v>
      </c>
      <c r="E4" s="60">
        <v>20.3</v>
      </c>
      <c r="F4" s="60">
        <v>20.3</v>
      </c>
      <c r="G4" s="60">
        <v>20.3</v>
      </c>
      <c r="H4" s="60">
        <v>20.3</v>
      </c>
      <c r="I4" s="60">
        <v>20.3</v>
      </c>
      <c r="J4" s="60">
        <v>20.3</v>
      </c>
      <c r="K4" s="60">
        <v>20.3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35.15</v>
      </c>
      <c r="E5" s="48">
        <v>36.83</v>
      </c>
      <c r="F5" s="48">
        <v>35.9</v>
      </c>
      <c r="G5" s="48">
        <v>38.659999999999997</v>
      </c>
      <c r="H5" s="48">
        <v>39.19</v>
      </c>
      <c r="I5" s="48">
        <v>37.83</v>
      </c>
      <c r="J5" s="48">
        <v>37.83</v>
      </c>
      <c r="K5" s="48">
        <v>38.75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713.54499999999996</v>
      </c>
      <c r="E6" s="32">
        <f t="shared" ref="E6:K6" si="0">E5*E4</f>
        <v>747.649</v>
      </c>
      <c r="F6" s="32">
        <f t="shared" si="0"/>
        <v>728.77</v>
      </c>
      <c r="G6" s="32">
        <f t="shared" si="0"/>
        <v>784.798</v>
      </c>
      <c r="H6" s="32">
        <f t="shared" si="0"/>
        <v>795.55700000000002</v>
      </c>
      <c r="I6" s="32">
        <f t="shared" si="0"/>
        <v>767.94899999999996</v>
      </c>
      <c r="J6" s="32">
        <f t="shared" si="0"/>
        <v>767.94899999999996</v>
      </c>
      <c r="K6" s="32">
        <f t="shared" si="0"/>
        <v>786.625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30.11</v>
      </c>
      <c r="E7" s="3">
        <v>30.11</v>
      </c>
      <c r="F7" s="3">
        <v>30.11</v>
      </c>
      <c r="G7" s="3">
        <v>30.11</v>
      </c>
      <c r="H7" s="3">
        <v>30.11</v>
      </c>
      <c r="I7" s="3">
        <v>30.11</v>
      </c>
      <c r="J7" s="3">
        <v>30.11</v>
      </c>
      <c r="K7" s="48"/>
    </row>
    <row r="8" spans="1:11" x14ac:dyDescent="0.25">
      <c r="A8" s="5" t="s">
        <v>172</v>
      </c>
      <c r="B8" s="40" t="s">
        <v>1</v>
      </c>
      <c r="C8" s="5" t="s">
        <v>247</v>
      </c>
      <c r="D8" s="65">
        <f>16.7*0.35/0.91</f>
        <v>6.4230769230769225</v>
      </c>
      <c r="E8" s="65">
        <f t="shared" ref="E8:K8" si="1">16.7*0.35/0.91</f>
        <v>6.4230769230769225</v>
      </c>
      <c r="F8" s="65">
        <f t="shared" si="1"/>
        <v>6.4230769230769225</v>
      </c>
      <c r="G8" s="65">
        <f t="shared" si="1"/>
        <v>6.4230769230769225</v>
      </c>
      <c r="H8" s="65">
        <f t="shared" si="1"/>
        <v>6.4230769230769225</v>
      </c>
      <c r="I8" s="65">
        <f t="shared" si="1"/>
        <v>6.4230769230769225</v>
      </c>
      <c r="J8" s="65">
        <f t="shared" si="1"/>
        <v>6.4230769230769225</v>
      </c>
      <c r="K8" s="65">
        <f t="shared" si="1"/>
        <v>6.4230769230769225</v>
      </c>
    </row>
    <row r="9" spans="1:11" x14ac:dyDescent="0.25">
      <c r="A9" s="5" t="s">
        <v>248</v>
      </c>
      <c r="B9" s="40" t="s">
        <v>1</v>
      </c>
      <c r="C9" s="5" t="s">
        <v>155</v>
      </c>
      <c r="D9" s="118">
        <f>D8*D4</f>
        <v>130.38846153846154</v>
      </c>
      <c r="E9" s="118">
        <f t="shared" ref="E9:K9" si="2">E8*E4</f>
        <v>130.38846153846154</v>
      </c>
      <c r="F9" s="118">
        <f t="shared" si="2"/>
        <v>130.38846153846154</v>
      </c>
      <c r="G9" s="118">
        <f t="shared" si="2"/>
        <v>130.38846153846154</v>
      </c>
      <c r="H9" s="118">
        <f t="shared" si="2"/>
        <v>130.38846153846154</v>
      </c>
      <c r="I9" s="118">
        <f t="shared" si="2"/>
        <v>130.38846153846154</v>
      </c>
      <c r="J9" s="118">
        <f t="shared" si="2"/>
        <v>130.38846153846154</v>
      </c>
      <c r="K9" s="118">
        <f t="shared" si="2"/>
        <v>130.38846153846154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19">
        <f>9.8*0.35/0.91</f>
        <v>3.7692307692307692</v>
      </c>
      <c r="E11" s="119">
        <f t="shared" ref="E11:K11" si="3">9.8*0.35/0.91</f>
        <v>3.7692307692307692</v>
      </c>
      <c r="F11" s="119">
        <f t="shared" si="3"/>
        <v>3.7692307692307692</v>
      </c>
      <c r="G11" s="119">
        <f t="shared" si="3"/>
        <v>3.7692307692307692</v>
      </c>
      <c r="H11" s="119">
        <f t="shared" si="3"/>
        <v>3.7692307692307692</v>
      </c>
      <c r="I11" s="119">
        <f t="shared" si="3"/>
        <v>3.7692307692307692</v>
      </c>
      <c r="J11" s="119">
        <f t="shared" si="3"/>
        <v>3.7692307692307692</v>
      </c>
      <c r="K11" s="119">
        <f t="shared" si="3"/>
        <v>3.7692307692307692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76.515384615384619</v>
      </c>
      <c r="E12" s="96">
        <f t="shared" ref="E12:K12" si="4">E11*E4</f>
        <v>76.515384615384619</v>
      </c>
      <c r="F12" s="96">
        <f t="shared" si="4"/>
        <v>76.515384615384619</v>
      </c>
      <c r="G12" s="96">
        <f t="shared" si="4"/>
        <v>76.515384615384619</v>
      </c>
      <c r="H12" s="96">
        <f t="shared" si="4"/>
        <v>76.515384615384619</v>
      </c>
      <c r="I12" s="96">
        <f t="shared" si="4"/>
        <v>76.515384615384619</v>
      </c>
      <c r="J12" s="96">
        <f t="shared" si="4"/>
        <v>76.515384615384619</v>
      </c>
      <c r="K12" s="96">
        <f t="shared" si="4"/>
        <v>76.515384615384619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19">
        <f>24.6*0.35/0.91</f>
        <v>9.4615384615384599</v>
      </c>
      <c r="E14" s="119">
        <f t="shared" ref="E14:K14" si="5">24.6*0.35/0.91</f>
        <v>9.4615384615384599</v>
      </c>
      <c r="F14" s="119">
        <f t="shared" si="5"/>
        <v>9.4615384615384599</v>
      </c>
      <c r="G14" s="119">
        <f t="shared" si="5"/>
        <v>9.4615384615384599</v>
      </c>
      <c r="H14" s="119">
        <f t="shared" si="5"/>
        <v>9.4615384615384599</v>
      </c>
      <c r="I14" s="119">
        <f t="shared" si="5"/>
        <v>9.4615384615384599</v>
      </c>
      <c r="J14" s="119">
        <f t="shared" si="5"/>
        <v>9.4615384615384599</v>
      </c>
      <c r="K14" s="119">
        <f t="shared" si="5"/>
        <v>9.4615384615384599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192.06923076923076</v>
      </c>
      <c r="E15" s="96">
        <f t="shared" ref="E15:K15" si="6">E14*E4</f>
        <v>192.06923076923076</v>
      </c>
      <c r="F15" s="96">
        <f t="shared" si="6"/>
        <v>192.06923076923076</v>
      </c>
      <c r="G15" s="96">
        <f t="shared" si="6"/>
        <v>192.06923076923076</v>
      </c>
      <c r="H15" s="96">
        <f t="shared" si="6"/>
        <v>192.06923076923076</v>
      </c>
      <c r="I15" s="96">
        <f t="shared" si="6"/>
        <v>192.06923076923076</v>
      </c>
      <c r="J15" s="96">
        <f t="shared" si="6"/>
        <v>192.06923076923076</v>
      </c>
      <c r="K15" s="96">
        <f t="shared" si="6"/>
        <v>192.06923076923076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844.51903846153846</v>
      </c>
      <c r="E17" s="85">
        <f t="shared" ref="E17:K17" si="7">E10*E9+E13*E12+E16*E15</f>
        <v>836.61765384615387</v>
      </c>
      <c r="F17" s="85">
        <f t="shared" si="7"/>
        <v>854.8017692307692</v>
      </c>
      <c r="G17" s="85">
        <f t="shared" si="7"/>
        <v>854.25523076923082</v>
      </c>
      <c r="H17" s="85">
        <f t="shared" si="7"/>
        <v>814.3735384615386</v>
      </c>
      <c r="I17" s="85">
        <f t="shared" si="7"/>
        <v>796.11915384615384</v>
      </c>
      <c r="J17" s="85">
        <f t="shared" si="7"/>
        <v>833.6273076923078</v>
      </c>
      <c r="K17" s="85">
        <f t="shared" si="7"/>
        <v>1124.065653846154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844.51903846153846</v>
      </c>
      <c r="E18" s="31">
        <f t="shared" ref="E18:K18" si="8">E17</f>
        <v>836.61765384615387</v>
      </c>
      <c r="F18" s="31">
        <f t="shared" si="8"/>
        <v>854.8017692307692</v>
      </c>
      <c r="G18" s="31">
        <f t="shared" si="8"/>
        <v>854.25523076923082</v>
      </c>
      <c r="H18" s="31">
        <f t="shared" si="8"/>
        <v>814.3735384615386</v>
      </c>
      <c r="I18" s="31">
        <f t="shared" si="8"/>
        <v>796.11915384615384</v>
      </c>
      <c r="J18" s="31">
        <f t="shared" si="8"/>
        <v>833.6273076923078</v>
      </c>
      <c r="K18" s="31">
        <f t="shared" si="8"/>
        <v>1124.065653846154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">
        <v>665.24</v>
      </c>
      <c r="E19" s="3">
        <v>658.14</v>
      </c>
      <c r="F19" s="3">
        <v>664.97</v>
      </c>
      <c r="G19" s="3">
        <v>677.85</v>
      </c>
      <c r="H19" s="3">
        <v>683.45</v>
      </c>
      <c r="I19" s="3">
        <v>674.66</v>
      </c>
      <c r="J19" s="3">
        <v>755.5</v>
      </c>
      <c r="K19" s="3">
        <v>832.95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1539.8690384615384</v>
      </c>
      <c r="E20" s="38">
        <f t="shared" ref="E20:K20" si="9">E19+E7+E18</f>
        <v>1524.8676538461539</v>
      </c>
      <c r="F20" s="38">
        <f t="shared" si="9"/>
        <v>1549.8817692307694</v>
      </c>
      <c r="G20" s="38">
        <f t="shared" si="9"/>
        <v>1562.2152307692309</v>
      </c>
      <c r="H20" s="38">
        <f t="shared" si="9"/>
        <v>1527.9335384615388</v>
      </c>
      <c r="I20" s="38">
        <f t="shared" si="9"/>
        <v>1500.8891538461539</v>
      </c>
      <c r="J20" s="38">
        <f t="shared" si="9"/>
        <v>1619.2373076923077</v>
      </c>
      <c r="K20" s="38">
        <f t="shared" si="9"/>
        <v>1957.015653846154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-826.32403846153841</v>
      </c>
      <c r="E21" s="55">
        <f t="shared" ref="D21:K21" si="10">E6-E20</f>
        <v>-777.21865384615387</v>
      </c>
      <c r="F21" s="55">
        <f t="shared" si="10"/>
        <v>-821.11176923076937</v>
      </c>
      <c r="G21" s="55">
        <f t="shared" si="10"/>
        <v>-777.41723076923086</v>
      </c>
      <c r="H21" s="55">
        <f t="shared" si="10"/>
        <v>-732.37653846153876</v>
      </c>
      <c r="I21" s="55">
        <f t="shared" si="10"/>
        <v>-732.94015384615398</v>
      </c>
      <c r="J21" s="55">
        <f t="shared" si="10"/>
        <v>-851.28830769230774</v>
      </c>
      <c r="K21" s="55">
        <f t="shared" si="10"/>
        <v>-1170.390653846154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572-8B3C-4366-BFFD-5FB309490CCF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29">
        <v>5.13</v>
      </c>
      <c r="E4" s="29">
        <v>6.59</v>
      </c>
      <c r="F4" s="29">
        <v>4.49</v>
      </c>
      <c r="G4" s="29">
        <v>3.88</v>
      </c>
      <c r="H4" s="29">
        <v>4.7699999999999996</v>
      </c>
      <c r="I4" s="29">
        <v>5.12</v>
      </c>
      <c r="J4" s="29">
        <v>4.7699999999999996</v>
      </c>
      <c r="K4" s="29">
        <v>5.83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">
        <v>287.83</v>
      </c>
      <c r="E5" s="3">
        <v>202.07</v>
      </c>
      <c r="F5" s="3">
        <v>206.08</v>
      </c>
      <c r="G5" s="3">
        <v>206.39</v>
      </c>
      <c r="H5" s="3">
        <v>226.32</v>
      </c>
      <c r="I5" s="3">
        <v>261</v>
      </c>
      <c r="J5" s="3">
        <v>359.1</v>
      </c>
      <c r="K5" s="3">
        <v>477.3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1476.5678999999998</v>
      </c>
      <c r="E6" s="32">
        <f t="shared" ref="E6:K6" si="0">E5*E4</f>
        <v>1331.6413</v>
      </c>
      <c r="F6" s="32">
        <f t="shared" si="0"/>
        <v>925.29920000000016</v>
      </c>
      <c r="G6" s="32">
        <f t="shared" si="0"/>
        <v>800.79319999999996</v>
      </c>
      <c r="H6" s="32">
        <f t="shared" si="0"/>
        <v>1079.5463999999999</v>
      </c>
      <c r="I6" s="32">
        <f t="shared" si="0"/>
        <v>1336.32</v>
      </c>
      <c r="J6" s="32">
        <f t="shared" si="0"/>
        <v>1712.9069999999999</v>
      </c>
      <c r="K6" s="32">
        <f t="shared" si="0"/>
        <v>2782.6590000000001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125.78</v>
      </c>
      <c r="E7" s="3">
        <v>115.61</v>
      </c>
      <c r="F7" s="3">
        <v>103.31</v>
      </c>
      <c r="G7" s="3">
        <v>107.83</v>
      </c>
      <c r="H7" s="3">
        <v>111.33</v>
      </c>
      <c r="I7" s="3">
        <v>111.33</v>
      </c>
      <c r="J7" s="3">
        <v>113.66</v>
      </c>
      <c r="K7" s="3">
        <v>131.74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15.1</v>
      </c>
      <c r="E8" s="77">
        <v>15.1</v>
      </c>
      <c r="F8" s="77">
        <v>15.1</v>
      </c>
      <c r="G8" s="77">
        <v>15.1</v>
      </c>
      <c r="H8" s="77">
        <v>15.1</v>
      </c>
      <c r="I8" s="77">
        <v>15.1</v>
      </c>
      <c r="J8" s="77">
        <v>15.1</v>
      </c>
      <c r="K8" s="77">
        <v>15.1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77.462999999999994</v>
      </c>
      <c r="E9" s="49">
        <f t="shared" ref="E9:K9" si="1">E4*E8</f>
        <v>99.509</v>
      </c>
      <c r="F9" s="49">
        <f t="shared" si="1"/>
        <v>67.799000000000007</v>
      </c>
      <c r="G9" s="49">
        <f t="shared" si="1"/>
        <v>58.587999999999994</v>
      </c>
      <c r="H9" s="49">
        <f t="shared" si="1"/>
        <v>72.026999999999987</v>
      </c>
      <c r="I9" s="49">
        <f t="shared" si="1"/>
        <v>77.311999999999998</v>
      </c>
      <c r="J9" s="49">
        <f t="shared" si="1"/>
        <v>72.026999999999987</v>
      </c>
      <c r="K9" s="49">
        <f t="shared" si="1"/>
        <v>88.033000000000001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41.04</v>
      </c>
      <c r="E12" s="96">
        <f t="shared" ref="E12:K12" si="2">E11*E4</f>
        <v>52.72</v>
      </c>
      <c r="F12" s="96">
        <f t="shared" si="2"/>
        <v>35.92</v>
      </c>
      <c r="G12" s="96">
        <f t="shared" si="2"/>
        <v>31.04</v>
      </c>
      <c r="H12" s="96">
        <f t="shared" si="2"/>
        <v>38.159999999999997</v>
      </c>
      <c r="I12" s="96">
        <f t="shared" si="2"/>
        <v>40.96</v>
      </c>
      <c r="J12" s="96">
        <f t="shared" si="2"/>
        <v>38.159999999999997</v>
      </c>
      <c r="K12" s="96">
        <f t="shared" si="2"/>
        <v>46.64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30.78</v>
      </c>
      <c r="E15" s="96">
        <f t="shared" ref="E15:K15" si="3">E14*E4</f>
        <v>39.54</v>
      </c>
      <c r="F15" s="96">
        <f t="shared" si="3"/>
        <v>26.94</v>
      </c>
      <c r="G15" s="96">
        <f t="shared" si="3"/>
        <v>23.28</v>
      </c>
      <c r="H15" s="96">
        <f t="shared" si="3"/>
        <v>28.619999999999997</v>
      </c>
      <c r="I15" s="96">
        <f t="shared" si="3"/>
        <v>30.72</v>
      </c>
      <c r="J15" s="96">
        <f t="shared" si="3"/>
        <v>28.619999999999997</v>
      </c>
      <c r="K15" s="96">
        <f t="shared" si="3"/>
        <v>34.980000000000004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352.12832999999995</v>
      </c>
      <c r="E17" s="85">
        <f t="shared" ref="E17:K17" si="4">E10*E9+E13*E12+E16*E15</f>
        <v>452.12013000000002</v>
      </c>
      <c r="F17" s="85">
        <f t="shared" si="4"/>
        <v>322.41792000000004</v>
      </c>
      <c r="G17" s="85">
        <f t="shared" si="4"/>
        <v>280.26015999999998</v>
      </c>
      <c r="H17" s="85">
        <f t="shared" si="4"/>
        <v>322.55694</v>
      </c>
      <c r="I17" s="85">
        <f t="shared" si="4"/>
        <v>339.03616</v>
      </c>
      <c r="J17" s="85">
        <f t="shared" si="4"/>
        <v>333.22265999999996</v>
      </c>
      <c r="K17" s="85">
        <f t="shared" si="4"/>
        <v>507.63559000000004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352.12832999999995</v>
      </c>
      <c r="E18" s="31">
        <f t="shared" ref="E18:K18" si="5">E17</f>
        <v>452.12013000000002</v>
      </c>
      <c r="F18" s="31">
        <f t="shared" si="5"/>
        <v>322.41792000000004</v>
      </c>
      <c r="G18" s="31">
        <f t="shared" si="5"/>
        <v>280.26015999999998</v>
      </c>
      <c r="H18" s="31">
        <f t="shared" si="5"/>
        <v>322.55694</v>
      </c>
      <c r="I18" s="31">
        <f t="shared" si="5"/>
        <v>339.03616</v>
      </c>
      <c r="J18" s="31">
        <f t="shared" si="5"/>
        <v>333.22265999999996</v>
      </c>
      <c r="K18" s="31">
        <f t="shared" si="5"/>
        <v>507.63559000000004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65+312+5+24</f>
        <v>406</v>
      </c>
      <c r="E19" s="34">
        <f>64+309+7+26</f>
        <v>406</v>
      </c>
      <c r="F19" s="34">
        <f>78+312+4+27</f>
        <v>421</v>
      </c>
      <c r="G19" s="34">
        <f>76+320+4+27</f>
        <v>427</v>
      </c>
      <c r="H19" s="34">
        <f>108+322+5+24</f>
        <v>459</v>
      </c>
      <c r="I19" s="34">
        <f>84+315+6+22</f>
        <v>427</v>
      </c>
      <c r="J19" s="34">
        <f>82+340+5+23</f>
        <v>450</v>
      </c>
      <c r="K19" s="34">
        <f>89+409+9+22</f>
        <v>529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883.90832999999998</v>
      </c>
      <c r="E20" s="38">
        <f t="shared" si="6"/>
        <v>973.73013000000003</v>
      </c>
      <c r="F20" s="38">
        <f t="shared" si="6"/>
        <v>846.72792000000004</v>
      </c>
      <c r="G20" s="38">
        <f t="shared" si="6"/>
        <v>815.09015999999997</v>
      </c>
      <c r="H20" s="38">
        <f t="shared" si="6"/>
        <v>892.8869400000001</v>
      </c>
      <c r="I20" s="38">
        <f t="shared" si="6"/>
        <v>877.36616000000004</v>
      </c>
      <c r="J20" s="38">
        <f t="shared" si="6"/>
        <v>896.88265999999999</v>
      </c>
      <c r="K20" s="38">
        <f t="shared" si="6"/>
        <v>1168.3755900000001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592.6595699999998</v>
      </c>
      <c r="E21" s="6">
        <f t="shared" si="7"/>
        <v>357.91116999999997</v>
      </c>
      <c r="F21" s="6">
        <f t="shared" si="7"/>
        <v>78.571280000000115</v>
      </c>
      <c r="G21" s="6">
        <f t="shared" si="7"/>
        <v>-14.296960000000013</v>
      </c>
      <c r="H21" s="6">
        <f t="shared" si="7"/>
        <v>186.65945999999985</v>
      </c>
      <c r="I21" s="6">
        <f t="shared" si="7"/>
        <v>458.9538399999999</v>
      </c>
      <c r="J21" s="6">
        <f t="shared" si="7"/>
        <v>816.02433999999994</v>
      </c>
      <c r="K21" s="6">
        <f t="shared" si="7"/>
        <v>1614.28341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/>
      <c r="E24" s="67"/>
      <c r="F24" s="67"/>
      <c r="G24" s="67"/>
      <c r="H24" s="67"/>
      <c r="I24" s="67"/>
      <c r="J24" s="67"/>
      <c r="K24" s="67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/>
      <c r="E25" s="67"/>
      <c r="F25" s="67"/>
      <c r="G25" s="67"/>
      <c r="H25" s="67"/>
      <c r="I25" s="67"/>
      <c r="J25" s="67"/>
      <c r="K25" s="67"/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29">
        <v>4.8899999999999997</v>
      </c>
      <c r="E26" s="29">
        <v>4.8899999999999997</v>
      </c>
      <c r="F26" s="29">
        <v>4.8899999999999997</v>
      </c>
      <c r="G26" s="29">
        <v>3.88</v>
      </c>
      <c r="H26" s="29">
        <v>4.7699999999999996</v>
      </c>
      <c r="I26" s="29">
        <v>5.12</v>
      </c>
      <c r="J26" s="29">
        <v>4.76</v>
      </c>
      <c r="K26" s="29">
        <v>5.82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/>
      <c r="E27" s="67"/>
      <c r="F27" s="67"/>
      <c r="G27" s="67"/>
      <c r="H27" s="67"/>
      <c r="I27" s="67"/>
      <c r="J27" s="67"/>
      <c r="K27" s="67"/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/>
      <c r="E28" s="67"/>
      <c r="F28" s="67"/>
      <c r="G28" s="67"/>
      <c r="H28" s="67"/>
      <c r="I28" s="67"/>
      <c r="J28" s="67"/>
      <c r="K28" s="67"/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29">
        <v>8.89</v>
      </c>
      <c r="E29" s="29">
        <v>8.89</v>
      </c>
      <c r="F29" s="29">
        <v>8.89</v>
      </c>
      <c r="G29" s="29">
        <v>3.88</v>
      </c>
      <c r="H29" s="29">
        <v>4.7699999999999996</v>
      </c>
      <c r="I29" s="29">
        <v>5.12</v>
      </c>
      <c r="J29" s="29">
        <v>4.76</v>
      </c>
      <c r="K29" s="29">
        <v>5.82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29">
        <v>5.68</v>
      </c>
      <c r="E30" s="29">
        <v>5.68</v>
      </c>
      <c r="F30" s="29">
        <v>5.68</v>
      </c>
      <c r="G30" s="29">
        <v>3.88</v>
      </c>
      <c r="H30" s="29">
        <v>4.7699999999999996</v>
      </c>
      <c r="I30" s="29">
        <v>5.12</v>
      </c>
      <c r="J30" s="29">
        <v>4.76</v>
      </c>
      <c r="K30" s="29">
        <v>5.82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29">
        <v>5.13</v>
      </c>
      <c r="E31" s="29">
        <v>5.42</v>
      </c>
      <c r="F31" s="29">
        <v>3.61</v>
      </c>
      <c r="G31" s="29">
        <v>3.88</v>
      </c>
      <c r="H31" s="29">
        <v>4.7699999999999996</v>
      </c>
      <c r="I31" s="29">
        <v>5.12</v>
      </c>
      <c r="J31" s="29">
        <v>4.7699999999999996</v>
      </c>
      <c r="K31" s="29">
        <v>5.83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5B8-E7E3-4A5F-8C26-DEA931A42179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39">
        <v>2.5</v>
      </c>
      <c r="E4" s="39">
        <v>2.68</v>
      </c>
      <c r="F4" s="39">
        <v>2.57</v>
      </c>
      <c r="G4" s="39">
        <v>2.59</v>
      </c>
      <c r="H4" s="39">
        <v>2.68</v>
      </c>
      <c r="I4" s="39">
        <v>2.83</v>
      </c>
      <c r="J4" s="39">
        <v>2.87</v>
      </c>
      <c r="K4" s="39">
        <v>3.01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656.53</v>
      </c>
      <c r="E5" s="3">
        <v>395.5</v>
      </c>
      <c r="F5" s="3">
        <v>314.14</v>
      </c>
      <c r="G5" s="3">
        <v>319.94</v>
      </c>
      <c r="H5" s="3">
        <v>353.84</v>
      </c>
      <c r="I5" s="3">
        <v>465.56</v>
      </c>
      <c r="J5" s="3">
        <v>497.62</v>
      </c>
      <c r="K5" s="3">
        <v>600.07000000000005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1641.3249999999998</v>
      </c>
      <c r="E6" s="32">
        <f t="shared" ref="E6:K6" si="0">E5*E4</f>
        <v>1059.94</v>
      </c>
      <c r="F6" s="32">
        <f t="shared" si="0"/>
        <v>807.33979999999997</v>
      </c>
      <c r="G6" s="32">
        <f t="shared" si="0"/>
        <v>828.64459999999997</v>
      </c>
      <c r="H6" s="32">
        <f t="shared" si="0"/>
        <v>948.2912</v>
      </c>
      <c r="I6" s="32">
        <f t="shared" si="0"/>
        <v>1317.5348000000001</v>
      </c>
      <c r="J6" s="32">
        <f t="shared" si="0"/>
        <v>1428.1694</v>
      </c>
      <c r="K6" s="32">
        <f t="shared" si="0"/>
        <v>1806.2107000000001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182.8</v>
      </c>
      <c r="E7" s="37">
        <v>134.72999999999999</v>
      </c>
      <c r="F7" s="34">
        <v>120.63</v>
      </c>
      <c r="G7" s="34">
        <v>121.64</v>
      </c>
      <c r="H7" s="34">
        <v>127.51</v>
      </c>
      <c r="I7" s="50">
        <v>153</v>
      </c>
      <c r="J7" s="34">
        <v>160</v>
      </c>
      <c r="K7" s="34">
        <v>172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41.25</v>
      </c>
      <c r="E9" s="49">
        <f t="shared" ref="E9:K9" si="1">E8*E4</f>
        <v>44.220000000000006</v>
      </c>
      <c r="F9" s="49">
        <f t="shared" si="1"/>
        <v>42.404999999999994</v>
      </c>
      <c r="G9" s="49">
        <f t="shared" si="1"/>
        <v>42.734999999999999</v>
      </c>
      <c r="H9" s="49">
        <f t="shared" si="1"/>
        <v>44.220000000000006</v>
      </c>
      <c r="I9" s="49">
        <f t="shared" si="1"/>
        <v>46.695</v>
      </c>
      <c r="J9" s="49">
        <f t="shared" si="1"/>
        <v>47.355000000000004</v>
      </c>
      <c r="K9" s="49">
        <f t="shared" si="1"/>
        <v>49.664999999999999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</v>
      </c>
      <c r="E12" s="96">
        <f t="shared" ref="E12:K12" si="2">E11*E4</f>
        <v>21.44</v>
      </c>
      <c r="F12" s="96">
        <f t="shared" si="2"/>
        <v>20.56</v>
      </c>
      <c r="G12" s="96">
        <f t="shared" si="2"/>
        <v>20.72</v>
      </c>
      <c r="H12" s="96">
        <f t="shared" si="2"/>
        <v>21.44</v>
      </c>
      <c r="I12" s="96">
        <f t="shared" si="2"/>
        <v>22.64</v>
      </c>
      <c r="J12" s="96">
        <f t="shared" si="2"/>
        <v>22.96</v>
      </c>
      <c r="K12" s="96">
        <f t="shared" si="2"/>
        <v>24.08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</v>
      </c>
      <c r="E15" s="96">
        <f t="shared" ref="E15:K15" si="3">E14*E4</f>
        <v>16.080000000000002</v>
      </c>
      <c r="F15" s="96">
        <f t="shared" si="3"/>
        <v>15.419999999999998</v>
      </c>
      <c r="G15" s="96">
        <f t="shared" si="3"/>
        <v>15.54</v>
      </c>
      <c r="H15" s="96">
        <f t="shared" si="3"/>
        <v>16.080000000000002</v>
      </c>
      <c r="I15" s="96">
        <f t="shared" si="3"/>
        <v>16.98</v>
      </c>
      <c r="J15" s="96">
        <f t="shared" si="3"/>
        <v>17.22</v>
      </c>
      <c r="K15" s="96">
        <f t="shared" si="3"/>
        <v>18.059999999999999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182.48750000000001</v>
      </c>
      <c r="E17" s="85">
        <f t="shared" ref="E17:K17" si="4">E10*E9+E13*E12+E16*E15</f>
        <v>195.76060000000001</v>
      </c>
      <c r="F17" s="85">
        <f t="shared" si="4"/>
        <v>197.06759999999997</v>
      </c>
      <c r="G17" s="85">
        <f t="shared" si="4"/>
        <v>199.84440000000001</v>
      </c>
      <c r="H17" s="85">
        <f t="shared" si="4"/>
        <v>193.30840000000001</v>
      </c>
      <c r="I17" s="85">
        <f t="shared" si="4"/>
        <v>199.99610000000001</v>
      </c>
      <c r="J17" s="85">
        <f t="shared" si="4"/>
        <v>213.26970000000003</v>
      </c>
      <c r="K17" s="85">
        <f t="shared" si="4"/>
        <v>276.54374999999999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182.48750000000001</v>
      </c>
      <c r="E18" s="31">
        <f t="shared" ref="E18:K18" si="5">E17</f>
        <v>195.76060000000001</v>
      </c>
      <c r="F18" s="31">
        <f t="shared" si="5"/>
        <v>197.06759999999997</v>
      </c>
      <c r="G18" s="31">
        <f t="shared" si="5"/>
        <v>199.84440000000001</v>
      </c>
      <c r="H18" s="31">
        <f t="shared" si="5"/>
        <v>193.30840000000001</v>
      </c>
      <c r="I18" s="31">
        <f t="shared" si="5"/>
        <v>199.99610000000001</v>
      </c>
      <c r="J18" s="31">
        <f t="shared" si="5"/>
        <v>213.26970000000003</v>
      </c>
      <c r="K18" s="31">
        <f t="shared" si="5"/>
        <v>276.54374999999999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322+3+25</f>
        <v>350</v>
      </c>
      <c r="E19" s="34">
        <f>320+3+26</f>
        <v>349</v>
      </c>
      <c r="F19" s="34">
        <f>325+3+28</f>
        <v>356</v>
      </c>
      <c r="G19" s="34">
        <f>336+3+28</f>
        <v>367</v>
      </c>
      <c r="H19" s="34">
        <f>337+3+24</f>
        <v>364</v>
      </c>
      <c r="I19" s="34">
        <f>327+3+23</f>
        <v>353</v>
      </c>
      <c r="J19" s="34">
        <f>355+4+22</f>
        <v>381</v>
      </c>
      <c r="K19" s="34">
        <f>429+6+22</f>
        <v>457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715.28749999999991</v>
      </c>
      <c r="E20" s="38">
        <f t="shared" si="6"/>
        <v>679.49060000000009</v>
      </c>
      <c r="F20" s="38">
        <f t="shared" si="6"/>
        <v>673.69759999999997</v>
      </c>
      <c r="G20" s="38">
        <f t="shared" si="6"/>
        <v>688.48440000000005</v>
      </c>
      <c r="H20" s="38">
        <f t="shared" si="6"/>
        <v>684.8184</v>
      </c>
      <c r="I20" s="38">
        <f t="shared" si="6"/>
        <v>705.99610000000007</v>
      </c>
      <c r="J20" s="38">
        <f t="shared" si="6"/>
        <v>754.26970000000006</v>
      </c>
      <c r="K20" s="38">
        <f t="shared" si="6"/>
        <v>905.54375000000005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926.03749999999991</v>
      </c>
      <c r="E21" s="6">
        <f t="shared" si="7"/>
        <v>380.44939999999997</v>
      </c>
      <c r="F21" s="6">
        <f t="shared" si="7"/>
        <v>133.6422</v>
      </c>
      <c r="G21" s="6">
        <f t="shared" si="7"/>
        <v>140.16019999999992</v>
      </c>
      <c r="H21" s="6">
        <f t="shared" si="7"/>
        <v>263.47280000000001</v>
      </c>
      <c r="I21" s="6">
        <f t="shared" si="7"/>
        <v>611.53870000000006</v>
      </c>
      <c r="J21" s="6">
        <f t="shared" si="7"/>
        <v>673.89969999999994</v>
      </c>
      <c r="K21" s="6">
        <f t="shared" si="7"/>
        <v>900.66695000000004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1.67</v>
      </c>
      <c r="E24" s="29">
        <v>2.48</v>
      </c>
      <c r="F24" s="29">
        <v>5.66</v>
      </c>
      <c r="G24" s="29">
        <v>3.12</v>
      </c>
      <c r="H24" s="29">
        <v>3.24</v>
      </c>
      <c r="I24" s="29">
        <v>2.9</v>
      </c>
      <c r="J24" s="29">
        <v>2.87</v>
      </c>
      <c r="K24" s="29">
        <v>2.99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3.01</v>
      </c>
      <c r="E25" s="29">
        <v>1.53</v>
      </c>
      <c r="F25" s="29">
        <v>2.7</v>
      </c>
      <c r="G25" s="29">
        <v>3.12</v>
      </c>
      <c r="H25" s="29">
        <v>3.24</v>
      </c>
      <c r="I25" s="29">
        <v>2.9</v>
      </c>
      <c r="J25" s="29">
        <v>2.87</v>
      </c>
      <c r="K25" s="29">
        <v>2.99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2.02</v>
      </c>
      <c r="E26" s="29">
        <v>2.64</v>
      </c>
      <c r="F26" s="29">
        <v>2.5099999999999998</v>
      </c>
      <c r="G26" s="29">
        <v>1.93</v>
      </c>
      <c r="H26" s="29">
        <v>2.81</v>
      </c>
      <c r="I26" s="29">
        <v>2.2400000000000002</v>
      </c>
      <c r="J26" s="29">
        <v>2.2599999999999998</v>
      </c>
      <c r="K26" s="29">
        <v>2.11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2.56</v>
      </c>
      <c r="E27" s="39">
        <v>2.5</v>
      </c>
      <c r="F27" s="39">
        <v>2.4900000000000002</v>
      </c>
      <c r="G27" s="39">
        <v>2.17</v>
      </c>
      <c r="H27" s="39">
        <v>2.1800000000000002</v>
      </c>
      <c r="I27" s="39">
        <v>2.3199999999999998</v>
      </c>
      <c r="J27" s="39">
        <v>2.2599999999999998</v>
      </c>
      <c r="K27" s="39">
        <v>2.71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2.89</v>
      </c>
      <c r="E28" s="29">
        <v>3.11</v>
      </c>
      <c r="F28" s="29">
        <v>2.99</v>
      </c>
      <c r="G28" s="29">
        <v>2.78</v>
      </c>
      <c r="H28" s="29">
        <v>3.3</v>
      </c>
      <c r="I28" s="29">
        <v>2.65</v>
      </c>
      <c r="J28" s="29">
        <v>3.02</v>
      </c>
      <c r="K28" s="29">
        <v>4.92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1.88</v>
      </c>
      <c r="E29" s="29">
        <v>2.62</v>
      </c>
      <c r="F29" s="29">
        <v>2.31</v>
      </c>
      <c r="G29" s="29">
        <v>3.07</v>
      </c>
      <c r="H29" s="29">
        <v>3.21</v>
      </c>
      <c r="I29" s="29">
        <v>3.86</v>
      </c>
      <c r="J29" s="29">
        <v>3.44</v>
      </c>
      <c r="K29" s="29">
        <v>2.97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3.21</v>
      </c>
      <c r="E30" s="29">
        <v>3.54</v>
      </c>
      <c r="F30" s="29">
        <v>3.55</v>
      </c>
      <c r="G30" s="29">
        <v>2.95</v>
      </c>
      <c r="H30" s="29">
        <v>2.7</v>
      </c>
      <c r="I30" s="29">
        <v>3.37</v>
      </c>
      <c r="J30" s="29">
        <v>3.27</v>
      </c>
      <c r="K30" s="29">
        <v>3.54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2.62</v>
      </c>
      <c r="E31" s="39">
        <v>2.62</v>
      </c>
      <c r="F31" s="39">
        <v>2.46</v>
      </c>
      <c r="G31" s="39">
        <v>2.84</v>
      </c>
      <c r="H31" s="39">
        <v>2.85</v>
      </c>
      <c r="I31" s="39">
        <v>2.95</v>
      </c>
      <c r="J31" s="39">
        <v>3.14</v>
      </c>
      <c r="K31" s="39">
        <v>3.1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62F-8B87-4908-A0A3-6614DAEAD8EA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3.32</v>
      </c>
      <c r="E4" s="29">
        <v>3.6</v>
      </c>
      <c r="F4" s="29">
        <v>3.4</v>
      </c>
      <c r="G4" s="29">
        <v>3.69</v>
      </c>
      <c r="H4" s="29">
        <v>3.67</v>
      </c>
      <c r="I4" s="29">
        <v>4.0199999999999996</v>
      </c>
      <c r="J4" s="29">
        <v>3.43</v>
      </c>
      <c r="K4" s="29">
        <v>3.97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235.04</v>
      </c>
      <c r="E5" s="3">
        <v>254.25</v>
      </c>
      <c r="F5" s="3">
        <v>282.5</v>
      </c>
      <c r="G5" s="3">
        <v>246.2</v>
      </c>
      <c r="H5" s="3">
        <v>204.81</v>
      </c>
      <c r="I5" s="3">
        <v>195.49</v>
      </c>
      <c r="J5" s="3">
        <v>311.51</v>
      </c>
      <c r="K5" s="3">
        <v>334.59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780.33279999999991</v>
      </c>
      <c r="E6" s="32">
        <f t="shared" ref="E6:K6" si="0">E5*E4</f>
        <v>915.30000000000007</v>
      </c>
      <c r="F6" s="32">
        <f t="shared" si="0"/>
        <v>960.5</v>
      </c>
      <c r="G6" s="32">
        <f t="shared" si="0"/>
        <v>908.47799999999995</v>
      </c>
      <c r="H6" s="32">
        <f t="shared" si="0"/>
        <v>751.65269999999998</v>
      </c>
      <c r="I6" s="32">
        <f t="shared" si="0"/>
        <v>785.86979999999994</v>
      </c>
      <c r="J6" s="32">
        <f t="shared" si="0"/>
        <v>1068.4793</v>
      </c>
      <c r="K6" s="32">
        <f t="shared" si="0"/>
        <v>1328.3223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112.26</v>
      </c>
      <c r="E7" s="3">
        <v>112.26</v>
      </c>
      <c r="F7" s="34">
        <f>121.17</f>
        <v>121.17</v>
      </c>
      <c r="G7" s="3">
        <v>126.51</v>
      </c>
      <c r="H7" s="3">
        <v>126.51</v>
      </c>
      <c r="I7" s="50">
        <v>131</v>
      </c>
      <c r="J7" s="34">
        <v>143.43</v>
      </c>
      <c r="K7" s="34">
        <v>173.73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54.779999999999994</v>
      </c>
      <c r="E9" s="49">
        <f t="shared" ref="E9:K9" si="1">E8*E4</f>
        <v>59.4</v>
      </c>
      <c r="F9" s="49">
        <f t="shared" si="1"/>
        <v>56.1</v>
      </c>
      <c r="G9" s="49">
        <f t="shared" si="1"/>
        <v>60.884999999999998</v>
      </c>
      <c r="H9" s="49">
        <f t="shared" si="1"/>
        <v>60.555</v>
      </c>
      <c r="I9" s="49">
        <f t="shared" si="1"/>
        <v>66.33</v>
      </c>
      <c r="J9" s="49">
        <f t="shared" si="1"/>
        <v>56.595000000000006</v>
      </c>
      <c r="K9" s="49">
        <f t="shared" si="1"/>
        <v>65.50500000000001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26.56</v>
      </c>
      <c r="E12" s="96">
        <f t="shared" ref="E12:K12" si="2">E11*E4</f>
        <v>28.8</v>
      </c>
      <c r="F12" s="96">
        <f t="shared" si="2"/>
        <v>27.2</v>
      </c>
      <c r="G12" s="96">
        <f t="shared" si="2"/>
        <v>29.52</v>
      </c>
      <c r="H12" s="96">
        <f t="shared" si="2"/>
        <v>29.36</v>
      </c>
      <c r="I12" s="96">
        <f t="shared" si="2"/>
        <v>32.159999999999997</v>
      </c>
      <c r="J12" s="96">
        <f t="shared" si="2"/>
        <v>27.44</v>
      </c>
      <c r="K12" s="96">
        <f t="shared" si="2"/>
        <v>31.76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19.919999999999998</v>
      </c>
      <c r="E15" s="96">
        <f t="shared" ref="E15:K15" si="3">E14*E4</f>
        <v>21.6</v>
      </c>
      <c r="F15" s="96">
        <f t="shared" si="3"/>
        <v>20.399999999999999</v>
      </c>
      <c r="G15" s="96">
        <f t="shared" si="3"/>
        <v>22.14</v>
      </c>
      <c r="H15" s="96">
        <f t="shared" si="3"/>
        <v>22.02</v>
      </c>
      <c r="I15" s="96">
        <f t="shared" si="3"/>
        <v>24.119999999999997</v>
      </c>
      <c r="J15" s="96">
        <f t="shared" si="3"/>
        <v>20.580000000000002</v>
      </c>
      <c r="K15" s="96">
        <f t="shared" si="3"/>
        <v>23.82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242.34339999999997</v>
      </c>
      <c r="E17" s="85">
        <f t="shared" ref="E17:K17" si="4">E10*E9+E13*E12+E16*E15</f>
        <v>262.96199999999999</v>
      </c>
      <c r="F17" s="85">
        <f t="shared" si="4"/>
        <v>260.71199999999999</v>
      </c>
      <c r="G17" s="85">
        <f t="shared" si="4"/>
        <v>284.72040000000004</v>
      </c>
      <c r="H17" s="85">
        <f t="shared" si="4"/>
        <v>264.71710000000002</v>
      </c>
      <c r="I17" s="85">
        <f t="shared" si="4"/>
        <v>284.09339999999997</v>
      </c>
      <c r="J17" s="85">
        <f t="shared" si="4"/>
        <v>254.88330000000005</v>
      </c>
      <c r="K17" s="85">
        <f t="shared" si="4"/>
        <v>364.74375000000003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242.34339999999997</v>
      </c>
      <c r="E18" s="31">
        <f t="shared" ref="E18:K18" si="5">E17</f>
        <v>262.96199999999999</v>
      </c>
      <c r="F18" s="31">
        <f t="shared" si="5"/>
        <v>260.71199999999999</v>
      </c>
      <c r="G18" s="31">
        <f t="shared" si="5"/>
        <v>284.72040000000004</v>
      </c>
      <c r="H18" s="31">
        <f t="shared" si="5"/>
        <v>264.71710000000002</v>
      </c>
      <c r="I18" s="31">
        <f t="shared" si="5"/>
        <v>284.09339999999997</v>
      </c>
      <c r="J18" s="31">
        <f t="shared" si="5"/>
        <v>254.88330000000005</v>
      </c>
      <c r="K18" s="31">
        <f t="shared" si="5"/>
        <v>364.74375000000003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340+4+24</f>
        <v>368</v>
      </c>
      <c r="E19" s="34">
        <f>338+4+25.7</f>
        <v>367.7</v>
      </c>
      <c r="F19" s="34">
        <f>344+4+27</f>
        <v>375</v>
      </c>
      <c r="G19" s="34">
        <f>359+4+27</f>
        <v>390</v>
      </c>
      <c r="H19" s="34">
        <f>358+5+24</f>
        <v>387</v>
      </c>
      <c r="I19" s="34">
        <f>348+5+22</f>
        <v>375</v>
      </c>
      <c r="J19" s="34">
        <f>372+4+22</f>
        <v>398</v>
      </c>
      <c r="K19" s="34">
        <f>454+8+22</f>
        <v>484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722.60339999999997</v>
      </c>
      <c r="E20" s="38">
        <f t="shared" si="6"/>
        <v>742.92200000000003</v>
      </c>
      <c r="F20" s="38">
        <f t="shared" si="6"/>
        <v>756.88200000000006</v>
      </c>
      <c r="G20" s="38">
        <f t="shared" si="6"/>
        <v>801.23040000000003</v>
      </c>
      <c r="H20" s="38">
        <f t="shared" si="6"/>
        <v>778.22710000000006</v>
      </c>
      <c r="I20" s="38">
        <f t="shared" si="6"/>
        <v>790.09339999999997</v>
      </c>
      <c r="J20" s="38">
        <f t="shared" si="6"/>
        <v>796.31330000000014</v>
      </c>
      <c r="K20" s="38">
        <f t="shared" si="6"/>
        <v>1022.4737500000001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57.729399999999941</v>
      </c>
      <c r="E21" s="6">
        <f t="shared" si="7"/>
        <v>172.37800000000004</v>
      </c>
      <c r="F21" s="6">
        <f t="shared" si="7"/>
        <v>203.61799999999994</v>
      </c>
      <c r="G21" s="6">
        <f t="shared" si="7"/>
        <v>107.24759999999992</v>
      </c>
      <c r="H21" s="6">
        <f t="shared" si="7"/>
        <v>-26.574400000000082</v>
      </c>
      <c r="I21" s="6">
        <f t="shared" si="7"/>
        <v>-4.2236000000000331</v>
      </c>
      <c r="J21" s="6">
        <f t="shared" si="7"/>
        <v>272.16599999999983</v>
      </c>
      <c r="K21" s="6">
        <f t="shared" si="7"/>
        <v>305.84854999999993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4.92</v>
      </c>
      <c r="E24" s="29">
        <v>4.3099999999999996</v>
      </c>
      <c r="F24" s="29">
        <v>4.26</v>
      </c>
      <c r="G24" s="29">
        <v>2.84</v>
      </c>
      <c r="H24" s="29">
        <v>4.2300000000000004</v>
      </c>
      <c r="I24" s="29">
        <v>3.89</v>
      </c>
      <c r="J24" s="29">
        <v>3.47</v>
      </c>
      <c r="K24" s="29">
        <v>3.82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2.68</v>
      </c>
      <c r="E25" s="29">
        <v>1.33</v>
      </c>
      <c r="F25" s="29">
        <v>3.92</v>
      </c>
      <c r="G25" s="29">
        <v>2.91</v>
      </c>
      <c r="H25" s="29">
        <v>2.76</v>
      </c>
      <c r="I25" s="29">
        <v>2.38</v>
      </c>
      <c r="J25" s="29">
        <v>3.47</v>
      </c>
      <c r="K25" s="29">
        <v>4.0199999999999996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3.41</v>
      </c>
      <c r="E26" s="29">
        <v>3.98</v>
      </c>
      <c r="F26" s="29">
        <v>3.56</v>
      </c>
      <c r="G26" s="29">
        <v>3.37</v>
      </c>
      <c r="H26" s="29">
        <v>3.9</v>
      </c>
      <c r="I26" s="29">
        <v>3.29</v>
      </c>
      <c r="J26" s="29">
        <v>3.38</v>
      </c>
      <c r="K26" s="29">
        <v>2.99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3.06</v>
      </c>
      <c r="E27" s="29">
        <v>3.68</v>
      </c>
      <c r="F27" s="29">
        <v>3.86</v>
      </c>
      <c r="G27" s="29">
        <v>3.95</v>
      </c>
      <c r="H27" s="29">
        <v>3.78</v>
      </c>
      <c r="I27" s="29">
        <v>4.28</v>
      </c>
      <c r="J27" s="29">
        <v>3.28</v>
      </c>
      <c r="K27" s="29">
        <v>3.71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4.92</v>
      </c>
      <c r="E28" s="29">
        <v>3.65</v>
      </c>
      <c r="F28" s="29">
        <v>3.68</v>
      </c>
      <c r="G28" s="29">
        <v>3.12</v>
      </c>
      <c r="H28" s="29">
        <v>4.6500000000000004</v>
      </c>
      <c r="I28" s="29">
        <v>3.87</v>
      </c>
      <c r="J28" s="29">
        <v>3.94</v>
      </c>
      <c r="K28" s="29">
        <v>4.99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3.46</v>
      </c>
      <c r="E29" s="29">
        <v>3.95</v>
      </c>
      <c r="F29" s="29">
        <v>3.8</v>
      </c>
      <c r="G29" s="29">
        <v>4.6100000000000003</v>
      </c>
      <c r="H29" s="29">
        <v>4.25</v>
      </c>
      <c r="I29" s="29">
        <v>4.41</v>
      </c>
      <c r="J29" s="29">
        <v>3.9</v>
      </c>
      <c r="K29" s="29">
        <v>4.05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6.4</v>
      </c>
      <c r="E30" s="29">
        <v>8.8000000000000007</v>
      </c>
      <c r="F30" s="29">
        <v>4.12</v>
      </c>
      <c r="G30" s="29">
        <v>2.6</v>
      </c>
      <c r="H30" s="29">
        <v>4.93</v>
      </c>
      <c r="I30" s="29">
        <v>4.26</v>
      </c>
      <c r="J30" s="29">
        <v>3.47</v>
      </c>
      <c r="K30" s="29">
        <v>5.14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2.93</v>
      </c>
      <c r="E31" s="29">
        <v>3.18</v>
      </c>
      <c r="F31" s="29">
        <v>2.46</v>
      </c>
      <c r="G31" s="29">
        <v>3.06</v>
      </c>
      <c r="H31" s="29">
        <v>3.1</v>
      </c>
      <c r="I31" s="29">
        <v>3.77</v>
      </c>
      <c r="J31" s="29">
        <v>3.16</v>
      </c>
      <c r="K31" s="29">
        <v>4.4400000000000004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A8D-6BEA-4E72-BD39-933C68C3B034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2.54</v>
      </c>
      <c r="E4" s="29">
        <v>2.52</v>
      </c>
      <c r="F4" s="29">
        <v>2.85</v>
      </c>
      <c r="G4" s="29">
        <v>2.54</v>
      </c>
      <c r="H4" s="29">
        <v>2.4900000000000002</v>
      </c>
      <c r="I4" s="29">
        <v>2.93</v>
      </c>
      <c r="J4" s="29">
        <v>2.44</v>
      </c>
      <c r="K4" s="29">
        <v>2.79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264.42</v>
      </c>
      <c r="E5" s="3">
        <v>310.75</v>
      </c>
      <c r="F5" s="3">
        <v>354.25</v>
      </c>
      <c r="G5" s="3">
        <v>307.64</v>
      </c>
      <c r="H5" s="3">
        <v>252.55</v>
      </c>
      <c r="I5" s="3">
        <v>183.06</v>
      </c>
      <c r="J5" s="3">
        <v>334.94</v>
      </c>
      <c r="K5" s="3">
        <v>395.23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671.6268</v>
      </c>
      <c r="E6" s="32">
        <f t="shared" ref="E6:K6" si="0">E5*E4</f>
        <v>783.09</v>
      </c>
      <c r="F6" s="32">
        <f t="shared" si="0"/>
        <v>1009.6125000000001</v>
      </c>
      <c r="G6" s="32">
        <f t="shared" si="0"/>
        <v>781.40559999999994</v>
      </c>
      <c r="H6" s="32">
        <f t="shared" si="0"/>
        <v>628.84950000000003</v>
      </c>
      <c r="I6" s="32">
        <f t="shared" si="0"/>
        <v>536.36580000000004</v>
      </c>
      <c r="J6" s="32">
        <f t="shared" si="0"/>
        <v>817.25360000000001</v>
      </c>
      <c r="K6" s="32">
        <f t="shared" si="0"/>
        <v>1102.6917000000001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85.75</v>
      </c>
      <c r="E7" s="3">
        <v>89.93</v>
      </c>
      <c r="F7" s="34">
        <v>103.21</v>
      </c>
      <c r="G7" s="3">
        <v>100.87</v>
      </c>
      <c r="H7" s="3">
        <v>95.9</v>
      </c>
      <c r="I7" s="3">
        <v>90.64</v>
      </c>
      <c r="J7" s="34">
        <v>112.77</v>
      </c>
      <c r="K7" s="3">
        <v>131.30000000000001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38.353999999999999</v>
      </c>
      <c r="E9" s="49">
        <f t="shared" ref="E9:K9" si="1">E8*E4</f>
        <v>38.052</v>
      </c>
      <c r="F9" s="49">
        <f t="shared" si="1"/>
        <v>43.035000000000004</v>
      </c>
      <c r="G9" s="49">
        <f t="shared" si="1"/>
        <v>38.353999999999999</v>
      </c>
      <c r="H9" s="49">
        <f t="shared" si="1"/>
        <v>37.599000000000004</v>
      </c>
      <c r="I9" s="49">
        <f t="shared" si="1"/>
        <v>44.243000000000002</v>
      </c>
      <c r="J9" s="49">
        <f t="shared" si="1"/>
        <v>36.844000000000001</v>
      </c>
      <c r="K9" s="49">
        <f t="shared" si="1"/>
        <v>42.128999999999998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20.32</v>
      </c>
      <c r="E12" s="96">
        <f t="shared" ref="E12:K12" si="2">E11*E4</f>
        <v>20.16</v>
      </c>
      <c r="F12" s="96">
        <f t="shared" si="2"/>
        <v>22.8</v>
      </c>
      <c r="G12" s="96">
        <f t="shared" si="2"/>
        <v>20.32</v>
      </c>
      <c r="H12" s="96">
        <f t="shared" si="2"/>
        <v>19.920000000000002</v>
      </c>
      <c r="I12" s="96">
        <f t="shared" si="2"/>
        <v>23.44</v>
      </c>
      <c r="J12" s="96">
        <f t="shared" si="2"/>
        <v>19.52</v>
      </c>
      <c r="K12" s="96">
        <f t="shared" si="2"/>
        <v>22.32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15.24</v>
      </c>
      <c r="E15" s="96">
        <f t="shared" ref="E15:K15" si="3">E14*E4</f>
        <v>15.120000000000001</v>
      </c>
      <c r="F15" s="96">
        <f t="shared" si="3"/>
        <v>17.100000000000001</v>
      </c>
      <c r="G15" s="96">
        <f t="shared" si="3"/>
        <v>15.24</v>
      </c>
      <c r="H15" s="96">
        <f t="shared" si="3"/>
        <v>14.940000000000001</v>
      </c>
      <c r="I15" s="96">
        <f t="shared" si="3"/>
        <v>17.580000000000002</v>
      </c>
      <c r="J15" s="96">
        <f t="shared" si="3"/>
        <v>14.64</v>
      </c>
      <c r="K15" s="96">
        <f t="shared" si="3"/>
        <v>16.740000000000002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174.34814</v>
      </c>
      <c r="E17" s="85">
        <f t="shared" ref="E17:K17" si="4">E10*E9+E13*E12+E16*E15</f>
        <v>172.88963999999999</v>
      </c>
      <c r="F17" s="85">
        <f t="shared" si="4"/>
        <v>204.65280000000001</v>
      </c>
      <c r="G17" s="85">
        <f t="shared" si="4"/>
        <v>183.46928000000003</v>
      </c>
      <c r="H17" s="85">
        <f t="shared" si="4"/>
        <v>168.37878000000001</v>
      </c>
      <c r="I17" s="85">
        <f t="shared" si="4"/>
        <v>194.01874000000004</v>
      </c>
      <c r="J17" s="85">
        <f t="shared" si="4"/>
        <v>170.45352</v>
      </c>
      <c r="K17" s="85">
        <f t="shared" si="4"/>
        <v>242.93366999999998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174.34814</v>
      </c>
      <c r="E18" s="31">
        <f t="shared" ref="E18:K18" si="5">E17</f>
        <v>172.88963999999999</v>
      </c>
      <c r="F18" s="31">
        <f t="shared" si="5"/>
        <v>204.65280000000001</v>
      </c>
      <c r="G18" s="31">
        <f t="shared" si="5"/>
        <v>183.46928000000003</v>
      </c>
      <c r="H18" s="31">
        <f t="shared" si="5"/>
        <v>168.37878000000001</v>
      </c>
      <c r="I18" s="31">
        <f t="shared" si="5"/>
        <v>194.01874000000004</v>
      </c>
      <c r="J18" s="31">
        <f t="shared" si="5"/>
        <v>170.45352</v>
      </c>
      <c r="K18" s="31">
        <f t="shared" si="5"/>
        <v>242.93366999999998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333+3+24</f>
        <v>360</v>
      </c>
      <c r="E19" s="34">
        <f>329+3+25</f>
        <v>357</v>
      </c>
      <c r="F19" s="34">
        <f>339+4+27</f>
        <v>370</v>
      </c>
      <c r="G19" s="34">
        <f>347+3+27</f>
        <v>377</v>
      </c>
      <c r="H19" s="34">
        <f>347+3+24</f>
        <v>374</v>
      </c>
      <c r="I19" s="34">
        <f>338+4+22</f>
        <v>364</v>
      </c>
      <c r="J19" s="34">
        <f>362+3+22</f>
        <v>387</v>
      </c>
      <c r="K19" s="34">
        <f>439+5+22</f>
        <v>466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620.09814000000006</v>
      </c>
      <c r="E20" s="38">
        <f t="shared" si="6"/>
        <v>619.81963999999994</v>
      </c>
      <c r="F20" s="38">
        <f t="shared" si="6"/>
        <v>677.86279999999999</v>
      </c>
      <c r="G20" s="38">
        <f t="shared" si="6"/>
        <v>661.33928000000003</v>
      </c>
      <c r="H20" s="38">
        <f t="shared" si="6"/>
        <v>638.27877999999998</v>
      </c>
      <c r="I20" s="38">
        <f t="shared" si="6"/>
        <v>648.65874000000008</v>
      </c>
      <c r="J20" s="38">
        <f t="shared" si="6"/>
        <v>670.22352000000001</v>
      </c>
      <c r="K20" s="38">
        <f t="shared" si="6"/>
        <v>840.23366999999996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51.528659999999945</v>
      </c>
      <c r="E21" s="6">
        <f t="shared" si="7"/>
        <v>163.2703600000001</v>
      </c>
      <c r="F21" s="6">
        <f t="shared" si="7"/>
        <v>331.74970000000008</v>
      </c>
      <c r="G21" s="6">
        <f t="shared" si="7"/>
        <v>120.06631999999991</v>
      </c>
      <c r="H21" s="6">
        <f t="shared" si="7"/>
        <v>-9.4292799999999488</v>
      </c>
      <c r="I21" s="6">
        <f t="shared" si="7"/>
        <v>-112.29294000000004</v>
      </c>
      <c r="J21" s="6">
        <f t="shared" si="7"/>
        <v>147.03008</v>
      </c>
      <c r="K21" s="6">
        <f t="shared" si="7"/>
        <v>262.45803000000012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1.9</v>
      </c>
      <c r="E24" s="29">
        <v>3.09</v>
      </c>
      <c r="F24" s="29">
        <v>3.09</v>
      </c>
      <c r="G24" s="29">
        <v>2.59</v>
      </c>
      <c r="H24" s="29">
        <v>2.61</v>
      </c>
      <c r="I24" s="29">
        <v>2.91</v>
      </c>
      <c r="J24" s="29">
        <v>2.78</v>
      </c>
      <c r="K24" s="29">
        <v>2.02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2.81</v>
      </c>
      <c r="E25" s="29">
        <v>3.32</v>
      </c>
      <c r="F25" s="29">
        <v>1.78</v>
      </c>
      <c r="G25" s="29">
        <v>2.59</v>
      </c>
      <c r="H25" s="29">
        <v>2.61</v>
      </c>
      <c r="I25" s="29">
        <v>2.91</v>
      </c>
      <c r="J25" s="29">
        <v>2.48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2.1800000000000002</v>
      </c>
      <c r="E26" s="29">
        <v>2.54</v>
      </c>
      <c r="F26" s="29">
        <v>3.68</v>
      </c>
      <c r="G26" s="29">
        <v>2.76</v>
      </c>
      <c r="H26" s="29">
        <v>2.81</v>
      </c>
      <c r="I26" s="29">
        <v>2.2200000000000002</v>
      </c>
      <c r="J26" s="29">
        <v>3.02</v>
      </c>
      <c r="K26" s="29">
        <v>3.51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2.4500000000000002</v>
      </c>
      <c r="E27" s="29">
        <v>2.38</v>
      </c>
      <c r="F27" s="29">
        <v>2.85</v>
      </c>
      <c r="G27" s="29">
        <v>2.5</v>
      </c>
      <c r="H27" s="29">
        <v>2.5099999999999998</v>
      </c>
      <c r="I27" s="29">
        <v>2.44</v>
      </c>
      <c r="J27" s="29">
        <v>2.27</v>
      </c>
      <c r="K27" s="29">
        <v>2.95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3.42</v>
      </c>
      <c r="E28" s="29">
        <v>3.42</v>
      </c>
      <c r="F28" s="29">
        <v>1.47</v>
      </c>
      <c r="G28" s="29">
        <v>3.2</v>
      </c>
      <c r="H28" s="29">
        <v>2.23</v>
      </c>
      <c r="I28" s="29">
        <v>2.67</v>
      </c>
      <c r="J28" s="29">
        <v>2.48</v>
      </c>
      <c r="K28" s="29">
        <v>5.3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2.36</v>
      </c>
      <c r="E29" s="29">
        <v>2.95</v>
      </c>
      <c r="F29" s="29">
        <v>3.83</v>
      </c>
      <c r="G29" s="29">
        <v>2.62</v>
      </c>
      <c r="H29" s="29">
        <v>3.11</v>
      </c>
      <c r="I29" s="29">
        <v>3.67</v>
      </c>
      <c r="J29" s="29">
        <v>2.0499999999999998</v>
      </c>
      <c r="K29" s="29">
        <v>2.54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2.77</v>
      </c>
      <c r="E30" s="29">
        <v>2.1800000000000002</v>
      </c>
      <c r="F30" s="29">
        <v>2.89</v>
      </c>
      <c r="G30" s="29">
        <v>1.8</v>
      </c>
      <c r="H30" s="29">
        <v>2.25</v>
      </c>
      <c r="I30" s="29">
        <v>2.93</v>
      </c>
      <c r="J30" s="29">
        <v>4.1399999999999997</v>
      </c>
      <c r="K30" s="29">
        <v>2.91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2.76</v>
      </c>
      <c r="E31" s="29">
        <v>2.64</v>
      </c>
      <c r="F31" s="29">
        <v>2.27</v>
      </c>
      <c r="G31" s="29">
        <v>2.56</v>
      </c>
      <c r="H31" s="29">
        <v>2.31</v>
      </c>
      <c r="I31" s="29">
        <v>3.52</v>
      </c>
      <c r="J31" s="29">
        <v>2.61</v>
      </c>
      <c r="K31" s="29">
        <v>2.41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4D4-4608-408B-AFB6-337312556698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246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3.81</v>
      </c>
      <c r="F4" s="29">
        <v>4.25</v>
      </c>
      <c r="G4" s="29">
        <v>3.42</v>
      </c>
      <c r="H4" s="29">
        <v>4.1399999999999997</v>
      </c>
      <c r="I4" s="29">
        <v>4.5199999999999996</v>
      </c>
      <c r="J4" s="29">
        <v>4.25</v>
      </c>
      <c r="K4" s="29">
        <v>4.68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990.21899999999994</v>
      </c>
      <c r="F6" s="32">
        <f t="shared" si="0"/>
        <v>1224.6374999999998</v>
      </c>
      <c r="G6" s="32">
        <f t="shared" si="0"/>
        <v>869.05619999999999</v>
      </c>
      <c r="H6" s="32">
        <f t="shared" si="0"/>
        <v>830.40120000000002</v>
      </c>
      <c r="I6" s="32">
        <f t="shared" si="0"/>
        <v>817.21600000000001</v>
      </c>
      <c r="J6" s="32">
        <f t="shared" si="0"/>
        <v>1289.9175</v>
      </c>
      <c r="K6" s="32">
        <f t="shared" si="0"/>
        <v>2107.9656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78.680000000000007</v>
      </c>
      <c r="E7" s="37">
        <v>79.06</v>
      </c>
      <c r="F7" s="34">
        <v>87.32</v>
      </c>
      <c r="G7" s="34">
        <v>85</v>
      </c>
      <c r="H7" s="34">
        <v>80.5</v>
      </c>
      <c r="I7" s="48">
        <v>80.88</v>
      </c>
      <c r="J7" s="34">
        <v>97.33</v>
      </c>
      <c r="K7" s="34">
        <f>121.77</f>
        <v>121.77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62.865000000000002</v>
      </c>
      <c r="F9" s="49">
        <f t="shared" si="1"/>
        <v>70.125</v>
      </c>
      <c r="G9" s="49">
        <f t="shared" si="1"/>
        <v>56.43</v>
      </c>
      <c r="H9" s="49">
        <f t="shared" si="1"/>
        <v>68.309999999999988</v>
      </c>
      <c r="I9" s="49">
        <f t="shared" si="1"/>
        <v>74.58</v>
      </c>
      <c r="J9" s="49">
        <f t="shared" si="1"/>
        <v>70.125</v>
      </c>
      <c r="K9" s="49">
        <f t="shared" si="1"/>
        <v>77.22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30.48</v>
      </c>
      <c r="F12" s="96">
        <f t="shared" si="2"/>
        <v>34</v>
      </c>
      <c r="G12" s="96">
        <f t="shared" si="2"/>
        <v>27.36</v>
      </c>
      <c r="H12" s="96">
        <f t="shared" si="2"/>
        <v>33.119999999999997</v>
      </c>
      <c r="I12" s="96">
        <f t="shared" si="2"/>
        <v>36.159999999999997</v>
      </c>
      <c r="J12" s="96">
        <f t="shared" si="2"/>
        <v>34</v>
      </c>
      <c r="K12" s="96">
        <f t="shared" si="2"/>
        <v>37.44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22.86</v>
      </c>
      <c r="F15" s="96">
        <f t="shared" si="3"/>
        <v>25.5</v>
      </c>
      <c r="G15" s="96">
        <f t="shared" si="3"/>
        <v>20.52</v>
      </c>
      <c r="H15" s="96">
        <f t="shared" si="3"/>
        <v>24.839999999999996</v>
      </c>
      <c r="I15" s="96">
        <f t="shared" si="3"/>
        <v>27.119999999999997</v>
      </c>
      <c r="J15" s="96">
        <f t="shared" si="3"/>
        <v>25.5</v>
      </c>
      <c r="K15" s="96">
        <f t="shared" si="3"/>
        <v>28.08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278.30144999999999</v>
      </c>
      <c r="F17" s="85">
        <f t="shared" si="4"/>
        <v>325.89</v>
      </c>
      <c r="G17" s="85">
        <f t="shared" si="4"/>
        <v>263.88720000000001</v>
      </c>
      <c r="H17" s="85">
        <f t="shared" si="4"/>
        <v>298.6182</v>
      </c>
      <c r="I17" s="85">
        <f t="shared" si="4"/>
        <v>319.42839999999995</v>
      </c>
      <c r="J17" s="85">
        <f t="shared" si="4"/>
        <v>315.8175</v>
      </c>
      <c r="K17" s="85">
        <f t="shared" si="4"/>
        <v>429.97499999999997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278.30144999999999</v>
      </c>
      <c r="F18" s="31">
        <f t="shared" si="5"/>
        <v>325.89</v>
      </c>
      <c r="G18" s="31">
        <f t="shared" si="5"/>
        <v>263.88720000000001</v>
      </c>
      <c r="H18" s="31">
        <f t="shared" si="5"/>
        <v>298.6182</v>
      </c>
      <c r="I18" s="31">
        <f t="shared" si="5"/>
        <v>319.42839999999995</v>
      </c>
      <c r="J18" s="31">
        <f t="shared" si="5"/>
        <v>315.8175</v>
      </c>
      <c r="K18" s="31">
        <f t="shared" si="5"/>
        <v>429.97499999999997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342+4.34+24.35</f>
        <v>370.69</v>
      </c>
      <c r="E19" s="34">
        <f>340+4.6+25.7</f>
        <v>370.3</v>
      </c>
      <c r="F19" s="34">
        <f>352+5+27</f>
        <v>384</v>
      </c>
      <c r="G19" s="34">
        <f>355+4+27</f>
        <v>386</v>
      </c>
      <c r="H19" s="34">
        <f>363+5+23.8</f>
        <v>391.8</v>
      </c>
      <c r="I19" s="34">
        <f>352+22+6</f>
        <v>380</v>
      </c>
      <c r="J19" s="34">
        <f>380+5+22</f>
        <v>407</v>
      </c>
      <c r="K19" s="34">
        <f>463.13+9.35+22</f>
        <v>494.48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709.96214999999995</v>
      </c>
      <c r="E20" s="38">
        <f t="shared" si="6"/>
        <v>727.66145000000006</v>
      </c>
      <c r="F20" s="38">
        <f t="shared" si="6"/>
        <v>797.21</v>
      </c>
      <c r="G20" s="38">
        <f t="shared" si="6"/>
        <v>734.88720000000001</v>
      </c>
      <c r="H20" s="38">
        <f t="shared" si="6"/>
        <v>770.91820000000007</v>
      </c>
      <c r="I20" s="38">
        <f t="shared" si="6"/>
        <v>780.30839999999989</v>
      </c>
      <c r="J20" s="38">
        <f t="shared" si="6"/>
        <v>820.14750000000004</v>
      </c>
      <c r="K20" s="38">
        <f t="shared" si="6"/>
        <v>1046.2249999999999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197.71035000000006</v>
      </c>
      <c r="E21" s="6">
        <f t="shared" si="7"/>
        <v>262.55754999999988</v>
      </c>
      <c r="F21" s="6">
        <f t="shared" si="7"/>
        <v>427.42749999999978</v>
      </c>
      <c r="G21" s="6">
        <f t="shared" si="7"/>
        <v>134.16899999999998</v>
      </c>
      <c r="H21" s="6">
        <f t="shared" si="7"/>
        <v>59.482999999999947</v>
      </c>
      <c r="I21" s="6">
        <f t="shared" si="7"/>
        <v>36.907600000000116</v>
      </c>
      <c r="J21" s="6">
        <f t="shared" si="7"/>
        <v>469.77</v>
      </c>
      <c r="K21" s="6">
        <f t="shared" si="7"/>
        <v>1061.7406000000001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2.14</v>
      </c>
      <c r="E24" s="29">
        <v>3.85</v>
      </c>
      <c r="F24" s="29">
        <v>4.6500000000000004</v>
      </c>
      <c r="G24" s="29">
        <v>2.97</v>
      </c>
      <c r="H24" s="29">
        <v>3.05</v>
      </c>
      <c r="I24" s="29">
        <v>4.1100000000000003</v>
      </c>
      <c r="J24" s="29">
        <v>5.97</v>
      </c>
      <c r="K24" s="29">
        <v>4.66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2.83</v>
      </c>
      <c r="E25" s="29">
        <v>2.23</v>
      </c>
      <c r="F25" s="29">
        <v>4.5</v>
      </c>
      <c r="G25" s="29">
        <v>2.98</v>
      </c>
      <c r="H25" s="29">
        <v>3.13</v>
      </c>
      <c r="I25" s="29">
        <v>2.5099999999999998</v>
      </c>
      <c r="J25" s="29">
        <v>4.3600000000000003</v>
      </c>
      <c r="K25" s="29">
        <v>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4.0199999999999996</v>
      </c>
      <c r="E26" s="29">
        <v>5.0999999999999996</v>
      </c>
      <c r="F26" s="29">
        <v>3.95</v>
      </c>
      <c r="G26" s="29">
        <v>4.29</v>
      </c>
      <c r="H26" s="29">
        <v>3.83</v>
      </c>
      <c r="I26" s="29">
        <v>3.76</v>
      </c>
      <c r="J26" s="29">
        <v>4.05</v>
      </c>
      <c r="K26" s="29">
        <v>3.67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3.19</v>
      </c>
      <c r="E27" s="39">
        <v>3.42</v>
      </c>
      <c r="F27" s="39">
        <v>3.95</v>
      </c>
      <c r="G27" s="39">
        <v>3.36</v>
      </c>
      <c r="H27" s="39">
        <v>4.0999999999999996</v>
      </c>
      <c r="I27" s="39">
        <v>4.0599999999999996</v>
      </c>
      <c r="J27" s="39">
        <v>3.76</v>
      </c>
      <c r="K27" s="39">
        <v>4.74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3.57</v>
      </c>
      <c r="E28" s="39">
        <v>3.57</v>
      </c>
      <c r="F28" s="39">
        <v>4.2</v>
      </c>
      <c r="G28" s="39">
        <v>3.48</v>
      </c>
      <c r="H28" s="39">
        <v>4.13</v>
      </c>
      <c r="I28" s="39">
        <v>4.7</v>
      </c>
      <c r="J28" s="39">
        <v>4.3600000000000003</v>
      </c>
      <c r="K28" s="39">
        <v>4.66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3.41</v>
      </c>
      <c r="E29" s="29">
        <v>3.74</v>
      </c>
      <c r="F29" s="29">
        <v>4.3099999999999996</v>
      </c>
      <c r="G29" s="29">
        <v>3.59</v>
      </c>
      <c r="H29" s="29">
        <v>3.98</v>
      </c>
      <c r="I29" s="29">
        <v>4.2300000000000004</v>
      </c>
      <c r="J29" s="29">
        <v>5.28</v>
      </c>
      <c r="K29" s="29">
        <v>5.34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5.35</v>
      </c>
      <c r="E30" s="29">
        <v>3.75</v>
      </c>
      <c r="F30" s="29">
        <v>5.42</v>
      </c>
      <c r="G30" s="29">
        <v>2.54</v>
      </c>
      <c r="H30" s="29">
        <v>4.03</v>
      </c>
      <c r="I30" s="29">
        <v>4.53</v>
      </c>
      <c r="J30" s="29">
        <v>4.29</v>
      </c>
      <c r="K30" s="29">
        <v>4.1500000000000004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3.28</v>
      </c>
      <c r="E31" s="29">
        <v>4</v>
      </c>
      <c r="F31" s="29">
        <v>4.09</v>
      </c>
      <c r="G31" s="29">
        <v>3.39</v>
      </c>
      <c r="H31" s="29">
        <v>4.2300000000000004</v>
      </c>
      <c r="I31" s="29">
        <v>4.74</v>
      </c>
      <c r="J31" s="29">
        <v>3.93</v>
      </c>
      <c r="K31" s="29">
        <v>4.54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3FC-BFEF-4C03-AC54-85BF0CA86305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2.87</v>
      </c>
      <c r="F4" s="29">
        <v>2.52</v>
      </c>
      <c r="G4" s="29">
        <v>2.27</v>
      </c>
      <c r="H4" s="29">
        <v>2.65</v>
      </c>
      <c r="I4" s="29">
        <v>3.62</v>
      </c>
      <c r="J4" s="29">
        <v>2.9</v>
      </c>
      <c r="K4" s="29">
        <v>2.6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745.91300000000001</v>
      </c>
      <c r="F6" s="32">
        <f t="shared" si="0"/>
        <v>726.13799999999992</v>
      </c>
      <c r="G6" s="32">
        <f t="shared" si="0"/>
        <v>576.8297</v>
      </c>
      <c r="H6" s="32">
        <f t="shared" si="0"/>
        <v>531.53700000000003</v>
      </c>
      <c r="I6" s="32">
        <f t="shared" si="0"/>
        <v>654.49600000000009</v>
      </c>
      <c r="J6" s="32">
        <f t="shared" si="0"/>
        <v>880.17899999999997</v>
      </c>
      <c r="K6" s="32">
        <f t="shared" si="0"/>
        <v>1171.0920000000001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90.28</v>
      </c>
      <c r="E7" s="37">
        <v>91.1</v>
      </c>
      <c r="F7" s="34">
        <v>95</v>
      </c>
      <c r="G7" s="34">
        <v>101.34</v>
      </c>
      <c r="H7" s="34">
        <v>98.45</v>
      </c>
      <c r="I7" s="50">
        <v>98</v>
      </c>
      <c r="J7" s="34">
        <v>105.76</v>
      </c>
      <c r="K7" s="34">
        <v>118.27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47.355000000000004</v>
      </c>
      <c r="F9" s="49">
        <f t="shared" si="1"/>
        <v>41.58</v>
      </c>
      <c r="G9" s="49">
        <f t="shared" si="1"/>
        <v>37.454999999999998</v>
      </c>
      <c r="H9" s="49">
        <f t="shared" si="1"/>
        <v>43.725000000000001</v>
      </c>
      <c r="I9" s="49">
        <f t="shared" si="1"/>
        <v>59.730000000000004</v>
      </c>
      <c r="J9" s="49">
        <f t="shared" si="1"/>
        <v>47.85</v>
      </c>
      <c r="K9" s="49">
        <f t="shared" si="1"/>
        <v>42.9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22.96</v>
      </c>
      <c r="F12" s="96">
        <f t="shared" si="2"/>
        <v>20.16</v>
      </c>
      <c r="G12" s="96">
        <f t="shared" si="2"/>
        <v>18.16</v>
      </c>
      <c r="H12" s="96">
        <f t="shared" si="2"/>
        <v>21.2</v>
      </c>
      <c r="I12" s="96">
        <f t="shared" si="2"/>
        <v>28.96</v>
      </c>
      <c r="J12" s="96">
        <f t="shared" si="2"/>
        <v>23.2</v>
      </c>
      <c r="K12" s="96">
        <f t="shared" si="2"/>
        <v>20.8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17.22</v>
      </c>
      <c r="F15" s="96">
        <f t="shared" si="3"/>
        <v>15.120000000000001</v>
      </c>
      <c r="G15" s="96">
        <f t="shared" si="3"/>
        <v>13.620000000000001</v>
      </c>
      <c r="H15" s="96">
        <f t="shared" si="3"/>
        <v>15.899999999999999</v>
      </c>
      <c r="I15" s="96">
        <f t="shared" si="3"/>
        <v>21.72</v>
      </c>
      <c r="J15" s="96">
        <f t="shared" si="3"/>
        <v>17.399999999999999</v>
      </c>
      <c r="K15" s="96">
        <f t="shared" si="3"/>
        <v>15.600000000000001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209.63915</v>
      </c>
      <c r="F17" s="85">
        <f t="shared" si="4"/>
        <v>193.2336</v>
      </c>
      <c r="G17" s="85">
        <f t="shared" si="4"/>
        <v>175.1532</v>
      </c>
      <c r="H17" s="85">
        <f t="shared" si="4"/>
        <v>191.14449999999999</v>
      </c>
      <c r="I17" s="85">
        <f t="shared" si="4"/>
        <v>255.82540000000003</v>
      </c>
      <c r="J17" s="85">
        <f t="shared" si="4"/>
        <v>215.49900000000002</v>
      </c>
      <c r="K17" s="85">
        <f t="shared" si="4"/>
        <v>238.875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209.63915</v>
      </c>
      <c r="F18" s="31">
        <f t="shared" si="5"/>
        <v>193.2336</v>
      </c>
      <c r="G18" s="31">
        <f t="shared" si="5"/>
        <v>175.1532</v>
      </c>
      <c r="H18" s="31">
        <f t="shared" si="5"/>
        <v>191.14449999999999</v>
      </c>
      <c r="I18" s="31">
        <f t="shared" si="5"/>
        <v>255.82540000000003</v>
      </c>
      <c r="J18" s="31">
        <f t="shared" si="5"/>
        <v>215.49900000000002</v>
      </c>
      <c r="K18" s="31">
        <f t="shared" si="5"/>
        <v>238.875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338+19+24</f>
        <v>381</v>
      </c>
      <c r="E19" s="34">
        <f>331+3.5+25.7</f>
        <v>360.2</v>
      </c>
      <c r="F19" s="34">
        <f>336+3.06+27</f>
        <v>366.06</v>
      </c>
      <c r="G19" s="34">
        <f>344+3+27</f>
        <v>374</v>
      </c>
      <c r="H19" s="34">
        <f>348+3+24</f>
        <v>375</v>
      </c>
      <c r="I19" s="34">
        <f>344+5+22</f>
        <v>371</v>
      </c>
      <c r="J19" s="34">
        <f>366+4+22</f>
        <v>392</v>
      </c>
      <c r="K19" s="34">
        <f>436+5+22</f>
        <v>463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731.87214999999992</v>
      </c>
      <c r="E20" s="38">
        <f t="shared" si="6"/>
        <v>660.93914999999993</v>
      </c>
      <c r="F20" s="38">
        <f t="shared" si="6"/>
        <v>654.29359999999997</v>
      </c>
      <c r="G20" s="38">
        <f t="shared" si="6"/>
        <v>650.4932</v>
      </c>
      <c r="H20" s="38">
        <f t="shared" si="6"/>
        <v>664.59449999999993</v>
      </c>
      <c r="I20" s="38">
        <f t="shared" si="6"/>
        <v>724.82540000000006</v>
      </c>
      <c r="J20" s="38">
        <f t="shared" si="6"/>
        <v>713.25900000000001</v>
      </c>
      <c r="K20" s="38">
        <f t="shared" si="6"/>
        <v>820.14499999999998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175.80035000000009</v>
      </c>
      <c r="E21" s="6">
        <f t="shared" si="7"/>
        <v>84.973850000000084</v>
      </c>
      <c r="F21" s="6">
        <f t="shared" si="7"/>
        <v>71.844399999999951</v>
      </c>
      <c r="G21" s="6">
        <f t="shared" si="7"/>
        <v>-73.663499999999999</v>
      </c>
      <c r="H21" s="6">
        <f t="shared" si="7"/>
        <v>-133.05749999999989</v>
      </c>
      <c r="I21" s="6">
        <f t="shared" si="7"/>
        <v>-70.329399999999964</v>
      </c>
      <c r="J21" s="6">
        <f t="shared" si="7"/>
        <v>166.91999999999996</v>
      </c>
      <c r="K21" s="6">
        <f t="shared" si="7"/>
        <v>350.94700000000012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3.2</v>
      </c>
      <c r="E24" s="29">
        <v>3.3</v>
      </c>
      <c r="F24" s="29">
        <v>4.37</v>
      </c>
      <c r="G24" s="29">
        <v>2.33</v>
      </c>
      <c r="H24" s="29">
        <v>2.85</v>
      </c>
      <c r="I24" s="29">
        <v>2.4700000000000002</v>
      </c>
      <c r="J24" s="29">
        <v>4.7</v>
      </c>
      <c r="K24" s="29">
        <v>3.51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3.14</v>
      </c>
      <c r="E25" s="29">
        <v>3.14</v>
      </c>
      <c r="F25" s="29">
        <v>3.14</v>
      </c>
      <c r="G25" s="29">
        <v>2.5299999999999998</v>
      </c>
      <c r="H25" s="29">
        <v>3.36</v>
      </c>
      <c r="I25" s="29">
        <v>3.72</v>
      </c>
      <c r="J25" s="29">
        <v>2.82</v>
      </c>
      <c r="K25" s="29">
        <v>2.87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2.92</v>
      </c>
      <c r="E26" s="29">
        <v>2.92</v>
      </c>
      <c r="F26" s="29">
        <v>4.3600000000000003</v>
      </c>
      <c r="G26" s="29">
        <v>2.76</v>
      </c>
      <c r="H26" s="29">
        <v>3.06</v>
      </c>
      <c r="I26" s="29">
        <v>4.32</v>
      </c>
      <c r="J26" s="29">
        <v>2.82</v>
      </c>
      <c r="K26" s="29">
        <v>2.79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3.54</v>
      </c>
      <c r="E27" s="29">
        <v>3.2</v>
      </c>
      <c r="F27" s="29">
        <v>2.97</v>
      </c>
      <c r="G27" s="29">
        <v>3.39</v>
      </c>
      <c r="H27" s="29">
        <v>2.9</v>
      </c>
      <c r="I27" s="29">
        <v>3.7</v>
      </c>
      <c r="J27" s="29">
        <v>2.73</v>
      </c>
      <c r="K27" s="29">
        <v>3.69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2.19</v>
      </c>
      <c r="E28" s="29">
        <v>1.85</v>
      </c>
      <c r="F28" s="29">
        <v>1.85</v>
      </c>
      <c r="G28" s="29">
        <v>2.74</v>
      </c>
      <c r="H28" s="29">
        <v>3.35</v>
      </c>
      <c r="I28" s="29">
        <v>5.25</v>
      </c>
      <c r="J28" s="29">
        <v>2.82</v>
      </c>
      <c r="K28" s="29">
        <v>2.87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1.9</v>
      </c>
      <c r="E29" s="39">
        <v>2.06</v>
      </c>
      <c r="F29" s="39">
        <v>1.91</v>
      </c>
      <c r="G29" s="39">
        <v>2.5299999999999998</v>
      </c>
      <c r="H29" s="39">
        <v>3.86</v>
      </c>
      <c r="I29" s="39">
        <v>1.26</v>
      </c>
      <c r="J29" s="39">
        <v>2.82</v>
      </c>
      <c r="K29" s="39">
        <v>2.87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39">
        <v>1.1299999999999999</v>
      </c>
      <c r="E30" s="39">
        <v>1.82</v>
      </c>
      <c r="F30" s="39">
        <v>4.7</v>
      </c>
      <c r="G30" s="39">
        <v>2.38</v>
      </c>
      <c r="H30" s="39">
        <v>4.47</v>
      </c>
      <c r="I30" s="39">
        <v>2.75</v>
      </c>
      <c r="J30" s="39">
        <v>2.82</v>
      </c>
      <c r="K30" s="39">
        <v>2.87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3.7</v>
      </c>
      <c r="E31" s="29">
        <v>2.44</v>
      </c>
      <c r="F31" s="29">
        <v>2.4</v>
      </c>
      <c r="G31" s="29">
        <v>1.72</v>
      </c>
      <c r="H31" s="29">
        <v>2.36</v>
      </c>
      <c r="I31" s="29">
        <v>3.8</v>
      </c>
      <c r="J31" s="29">
        <v>2.84</v>
      </c>
      <c r="K31" s="29">
        <v>1.68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A9E-00E3-47DD-9AF9-A792D9F0569E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3.29</v>
      </c>
      <c r="E4" s="29">
        <v>2.86</v>
      </c>
      <c r="F4" s="29">
        <v>3.04</v>
      </c>
      <c r="G4" s="29">
        <v>2.98</v>
      </c>
      <c r="H4" s="29">
        <v>2.42</v>
      </c>
      <c r="I4" s="29">
        <v>3.27</v>
      </c>
      <c r="J4" s="29">
        <v>2.48</v>
      </c>
      <c r="K4" s="29">
        <v>2.87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282.5</v>
      </c>
      <c r="E5" s="3">
        <v>282.5</v>
      </c>
      <c r="F5" s="3">
        <v>336.74</v>
      </c>
      <c r="G5" s="3">
        <v>272.7</v>
      </c>
      <c r="H5" s="3">
        <v>268.94</v>
      </c>
      <c r="I5" s="3">
        <v>271.2</v>
      </c>
      <c r="J5" s="3">
        <v>281.83999999999997</v>
      </c>
      <c r="K5" s="3">
        <v>366.4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929.42499999999995</v>
      </c>
      <c r="E6" s="32">
        <f t="shared" ref="E6:K6" si="0">E5*E4</f>
        <v>807.94999999999993</v>
      </c>
      <c r="F6" s="32">
        <f t="shared" si="0"/>
        <v>1023.6896</v>
      </c>
      <c r="G6" s="32">
        <f t="shared" si="0"/>
        <v>812.64599999999996</v>
      </c>
      <c r="H6" s="32">
        <f t="shared" si="0"/>
        <v>650.83479999999997</v>
      </c>
      <c r="I6" s="32">
        <f t="shared" si="0"/>
        <v>886.82399999999996</v>
      </c>
      <c r="J6" s="32">
        <f t="shared" si="0"/>
        <v>698.96319999999992</v>
      </c>
      <c r="K6" s="32">
        <f t="shared" si="0"/>
        <v>1051.568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67.849999999999994</v>
      </c>
      <c r="E7" s="3">
        <v>67.849999999999994</v>
      </c>
      <c r="F7" s="34">
        <v>76.89</v>
      </c>
      <c r="G7" s="48">
        <v>77.39</v>
      </c>
      <c r="H7" s="3">
        <v>77.39</v>
      </c>
      <c r="I7" s="3">
        <v>79.13</v>
      </c>
      <c r="J7" s="34">
        <v>90.71</v>
      </c>
      <c r="K7" s="48">
        <v>100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49.679000000000002</v>
      </c>
      <c r="E9" s="49">
        <f t="shared" ref="E9:K9" si="1">E8*E4</f>
        <v>43.186</v>
      </c>
      <c r="F9" s="49">
        <f t="shared" si="1"/>
        <v>45.903999999999996</v>
      </c>
      <c r="G9" s="49">
        <f t="shared" si="1"/>
        <v>44.997999999999998</v>
      </c>
      <c r="H9" s="49">
        <f t="shared" si="1"/>
        <v>36.542000000000002</v>
      </c>
      <c r="I9" s="49">
        <f t="shared" si="1"/>
        <v>49.377000000000002</v>
      </c>
      <c r="J9" s="49">
        <f t="shared" si="1"/>
        <v>37.448</v>
      </c>
      <c r="K9" s="49">
        <f t="shared" si="1"/>
        <v>43.337000000000003</v>
      </c>
    </row>
    <row r="10" spans="1:11" ht="16.5" customHeight="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26.32</v>
      </c>
      <c r="E12" s="96">
        <f t="shared" ref="E12:K12" si="2">E11*E4</f>
        <v>22.88</v>
      </c>
      <c r="F12" s="96">
        <f t="shared" si="2"/>
        <v>24.32</v>
      </c>
      <c r="G12" s="96">
        <f t="shared" si="2"/>
        <v>23.84</v>
      </c>
      <c r="H12" s="96">
        <f t="shared" si="2"/>
        <v>19.36</v>
      </c>
      <c r="I12" s="96">
        <f t="shared" si="2"/>
        <v>26.16</v>
      </c>
      <c r="J12" s="96">
        <f t="shared" si="2"/>
        <v>19.84</v>
      </c>
      <c r="K12" s="96">
        <f t="shared" si="2"/>
        <v>22.96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19.740000000000002</v>
      </c>
      <c r="E15" s="96">
        <f t="shared" ref="E15:K15" si="3">E14*E4</f>
        <v>17.16</v>
      </c>
      <c r="F15" s="96">
        <f t="shared" si="3"/>
        <v>18.240000000000002</v>
      </c>
      <c r="G15" s="96">
        <f t="shared" si="3"/>
        <v>17.88</v>
      </c>
      <c r="H15" s="96">
        <f t="shared" si="3"/>
        <v>14.52</v>
      </c>
      <c r="I15" s="96">
        <f t="shared" si="3"/>
        <v>19.62</v>
      </c>
      <c r="J15" s="96">
        <f t="shared" si="3"/>
        <v>14.879999999999999</v>
      </c>
      <c r="K15" s="96">
        <f t="shared" si="3"/>
        <v>17.22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225.82889</v>
      </c>
      <c r="E17" s="85">
        <f t="shared" ref="E17:K17" si="4">E10*E9+E13*E12+E16*E15</f>
        <v>196.21601999999999</v>
      </c>
      <c r="F17" s="85">
        <f t="shared" si="4"/>
        <v>218.29631999999998</v>
      </c>
      <c r="G17" s="85">
        <f t="shared" si="4"/>
        <v>215.25135999999998</v>
      </c>
      <c r="H17" s="85">
        <f t="shared" si="4"/>
        <v>163.64524</v>
      </c>
      <c r="I17" s="85">
        <f t="shared" si="4"/>
        <v>216.53286000000003</v>
      </c>
      <c r="J17" s="85">
        <f t="shared" si="4"/>
        <v>173.24784</v>
      </c>
      <c r="K17" s="85">
        <f t="shared" si="4"/>
        <v>249.89950999999999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225.82889</v>
      </c>
      <c r="E18" s="31">
        <f t="shared" ref="E18:K18" si="5">E17</f>
        <v>196.21601999999999</v>
      </c>
      <c r="F18" s="31">
        <f t="shared" si="5"/>
        <v>218.29631999999998</v>
      </c>
      <c r="G18" s="31">
        <f t="shared" si="5"/>
        <v>215.25135999999998</v>
      </c>
      <c r="H18" s="31">
        <f t="shared" si="5"/>
        <v>163.64524</v>
      </c>
      <c r="I18" s="31">
        <f t="shared" si="5"/>
        <v>216.53286000000003</v>
      </c>
      <c r="J18" s="31">
        <f t="shared" si="5"/>
        <v>173.24784</v>
      </c>
      <c r="K18" s="31">
        <f t="shared" si="5"/>
        <v>249.89950999999999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339+20+25</f>
        <v>384</v>
      </c>
      <c r="E19" s="34">
        <f>332+17+26</f>
        <v>375</v>
      </c>
      <c r="F19" s="34">
        <f>341+19+27</f>
        <v>387</v>
      </c>
      <c r="G19" s="34">
        <f>351+18+27</f>
        <v>396</v>
      </c>
      <c r="H19" s="34">
        <f>347+14+24</f>
        <v>385</v>
      </c>
      <c r="I19" s="34">
        <f>341+22+22</f>
        <v>385</v>
      </c>
      <c r="J19" s="34">
        <f>362+17+22</f>
        <v>401</v>
      </c>
      <c r="K19" s="34">
        <f>440+28+22</f>
        <v>490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677.67889000000002</v>
      </c>
      <c r="E20" s="38">
        <f t="shared" si="6"/>
        <v>639.06601999999998</v>
      </c>
      <c r="F20" s="38">
        <f t="shared" si="6"/>
        <v>682.18632000000002</v>
      </c>
      <c r="G20" s="38">
        <f t="shared" si="6"/>
        <v>688.64135999999996</v>
      </c>
      <c r="H20" s="38">
        <f t="shared" si="6"/>
        <v>626.03523999999993</v>
      </c>
      <c r="I20" s="38">
        <f t="shared" si="6"/>
        <v>680.66286000000002</v>
      </c>
      <c r="J20" s="38">
        <f t="shared" si="6"/>
        <v>664.95784000000003</v>
      </c>
      <c r="K20" s="38">
        <f t="shared" si="6"/>
        <v>839.89950999999996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251.74610999999993</v>
      </c>
      <c r="E21" s="6">
        <f t="shared" si="7"/>
        <v>168.88397999999995</v>
      </c>
      <c r="F21" s="6">
        <f t="shared" si="7"/>
        <v>341.50328000000002</v>
      </c>
      <c r="G21" s="6">
        <f t="shared" si="7"/>
        <v>124.00463999999999</v>
      </c>
      <c r="H21" s="6">
        <f t="shared" si="7"/>
        <v>24.799560000000042</v>
      </c>
      <c r="I21" s="6">
        <f t="shared" si="7"/>
        <v>206.16113999999993</v>
      </c>
      <c r="J21" s="6">
        <f t="shared" si="7"/>
        <v>34.005359999999882</v>
      </c>
      <c r="K21" s="6">
        <f t="shared" si="7"/>
        <v>211.66849000000002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3.81</v>
      </c>
      <c r="E24" s="29">
        <v>3.04</v>
      </c>
      <c r="F24" s="29">
        <v>3.49</v>
      </c>
      <c r="G24" s="29">
        <v>3.97</v>
      </c>
      <c r="H24" s="29">
        <v>2.98</v>
      </c>
      <c r="I24" s="29">
        <v>3.14</v>
      </c>
      <c r="J24" s="29">
        <v>2.4300000000000002</v>
      </c>
      <c r="K24" s="29">
        <v>2.79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2.4700000000000002</v>
      </c>
      <c r="E25" s="29">
        <v>2</v>
      </c>
      <c r="F25" s="29">
        <v>2.98</v>
      </c>
      <c r="G25" s="29">
        <v>2.76</v>
      </c>
      <c r="H25" s="29">
        <v>2.68</v>
      </c>
      <c r="I25" s="29">
        <v>3.14</v>
      </c>
      <c r="J25" s="29">
        <v>2.4300000000000002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3.71</v>
      </c>
      <c r="E26" s="29">
        <v>3.01</v>
      </c>
      <c r="F26" s="29">
        <v>3.28</v>
      </c>
      <c r="G26" s="29">
        <v>2.92</v>
      </c>
      <c r="H26" s="29">
        <v>2.5</v>
      </c>
      <c r="I26" s="29">
        <v>2.31</v>
      </c>
      <c r="J26" s="29">
        <v>2.1</v>
      </c>
      <c r="K26" s="29">
        <v>2.12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3.3</v>
      </c>
      <c r="E27" s="29">
        <v>2.81</v>
      </c>
      <c r="F27" s="29">
        <v>2.92</v>
      </c>
      <c r="G27" s="29">
        <v>3.39</v>
      </c>
      <c r="H27" s="29">
        <v>2.39</v>
      </c>
      <c r="I27" s="29">
        <v>3.21</v>
      </c>
      <c r="J27" s="29">
        <v>2.36</v>
      </c>
      <c r="K27" s="29">
        <v>3.07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3.16</v>
      </c>
      <c r="E28" s="29">
        <v>3.16</v>
      </c>
      <c r="F28" s="29">
        <v>3.16</v>
      </c>
      <c r="G28" s="29">
        <v>2.76</v>
      </c>
      <c r="H28" s="29">
        <v>3.6</v>
      </c>
      <c r="I28" s="29">
        <v>3.14</v>
      </c>
      <c r="J28" s="29">
        <v>2.4300000000000002</v>
      </c>
      <c r="K28" s="29">
        <v>2.79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3.18</v>
      </c>
      <c r="E29" s="29">
        <v>3.41</v>
      </c>
      <c r="F29" s="29">
        <v>3.39</v>
      </c>
      <c r="G29" s="29">
        <v>2.85</v>
      </c>
      <c r="H29" s="29">
        <v>2.35</v>
      </c>
      <c r="I29" s="29">
        <v>4.58</v>
      </c>
      <c r="J29" s="29">
        <v>3.02</v>
      </c>
      <c r="K29" s="29">
        <v>2.66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2.12</v>
      </c>
      <c r="E30" s="29">
        <v>1.52</v>
      </c>
      <c r="F30" s="29">
        <v>3.79</v>
      </c>
      <c r="G30" s="29">
        <v>1.0900000000000001</v>
      </c>
      <c r="H30" s="29">
        <v>1.96</v>
      </c>
      <c r="I30" s="29">
        <v>2.21</v>
      </c>
      <c r="J30" s="29">
        <v>2.79</v>
      </c>
      <c r="K30" s="29">
        <v>2.72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2.97</v>
      </c>
      <c r="E31" s="29">
        <v>3.08</v>
      </c>
      <c r="F31" s="29">
        <v>2.8</v>
      </c>
      <c r="G31" s="29">
        <v>1.97</v>
      </c>
      <c r="H31" s="29">
        <v>2.46</v>
      </c>
      <c r="I31" s="29">
        <v>3.39</v>
      </c>
      <c r="J31" s="29">
        <v>2.6</v>
      </c>
      <c r="K31" s="29">
        <v>2.78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05F-94A0-42A2-9B9F-9E92BEE44B5B}">
  <dimension ref="A3:K31"/>
  <sheetViews>
    <sheetView workbookViewId="0">
      <selection activeCell="K17" sqref="K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5.76</v>
      </c>
      <c r="E4" s="29">
        <v>5.88</v>
      </c>
      <c r="F4" s="29">
        <v>6.65</v>
      </c>
      <c r="G4" s="29">
        <v>7.34</v>
      </c>
      <c r="H4" s="29">
        <v>6.65</v>
      </c>
      <c r="I4" s="29">
        <v>7.06</v>
      </c>
      <c r="J4" s="29">
        <v>7.67</v>
      </c>
      <c r="K4" s="29">
        <v>6.84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153.43</v>
      </c>
      <c r="E5" s="3">
        <v>131.61000000000001</v>
      </c>
      <c r="F5" s="3">
        <v>147.09</v>
      </c>
      <c r="G5" s="3">
        <v>147</v>
      </c>
      <c r="H5" s="3">
        <v>133.18</v>
      </c>
      <c r="I5" s="3">
        <v>136.32</v>
      </c>
      <c r="J5" s="3">
        <v>212.15</v>
      </c>
      <c r="K5" s="3">
        <v>317.76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883.7568</v>
      </c>
      <c r="E6" s="32">
        <f t="shared" ref="E6:K6" si="0">E5*E4</f>
        <v>773.86680000000001</v>
      </c>
      <c r="F6" s="32">
        <f t="shared" si="0"/>
        <v>978.14850000000013</v>
      </c>
      <c r="G6" s="32">
        <f t="shared" si="0"/>
        <v>1078.98</v>
      </c>
      <c r="H6" s="32">
        <f t="shared" si="0"/>
        <v>885.64700000000005</v>
      </c>
      <c r="I6" s="32">
        <f t="shared" si="0"/>
        <v>962.41919999999993</v>
      </c>
      <c r="J6" s="32">
        <f t="shared" si="0"/>
        <v>1627.1904999999999</v>
      </c>
      <c r="K6" s="32">
        <f t="shared" si="0"/>
        <v>2173.4784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138</v>
      </c>
      <c r="E7" s="3">
        <v>138</v>
      </c>
      <c r="F7" s="52">
        <v>138</v>
      </c>
      <c r="G7" s="3">
        <v>141.29</v>
      </c>
      <c r="H7" s="3">
        <v>144.56</v>
      </c>
      <c r="I7" s="48">
        <v>144.91</v>
      </c>
      <c r="J7" s="3">
        <v>145.22</v>
      </c>
      <c r="K7" s="3">
        <v>145.22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86.975999999999999</v>
      </c>
      <c r="E9" s="49">
        <f t="shared" si="1"/>
        <v>88.787999999999997</v>
      </c>
      <c r="F9" s="49">
        <f t="shared" si="1"/>
        <v>100.41500000000001</v>
      </c>
      <c r="G9" s="49">
        <f t="shared" si="1"/>
        <v>110.83399999999999</v>
      </c>
      <c r="H9" s="49">
        <f t="shared" si="1"/>
        <v>100.41500000000001</v>
      </c>
      <c r="I9" s="49">
        <f t="shared" si="1"/>
        <v>106.60599999999999</v>
      </c>
      <c r="J9" s="49">
        <f t="shared" si="1"/>
        <v>115.81699999999999</v>
      </c>
      <c r="K9" s="49">
        <f t="shared" si="1"/>
        <v>103.28399999999999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46.08</v>
      </c>
      <c r="E12" s="96">
        <f t="shared" ref="E12:K12" si="2">E11*E4</f>
        <v>47.04</v>
      </c>
      <c r="F12" s="96">
        <f t="shared" si="2"/>
        <v>53.2</v>
      </c>
      <c r="G12" s="96">
        <f t="shared" si="2"/>
        <v>58.72</v>
      </c>
      <c r="H12" s="96">
        <f t="shared" si="2"/>
        <v>53.2</v>
      </c>
      <c r="I12" s="96">
        <f t="shared" si="2"/>
        <v>56.48</v>
      </c>
      <c r="J12" s="96">
        <f t="shared" si="2"/>
        <v>61.36</v>
      </c>
      <c r="K12" s="96">
        <f t="shared" si="2"/>
        <v>54.72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5</v>
      </c>
      <c r="E14" s="100">
        <v>5</v>
      </c>
      <c r="F14" s="100">
        <v>5</v>
      </c>
      <c r="G14" s="100">
        <v>5</v>
      </c>
      <c r="H14" s="100">
        <v>5</v>
      </c>
      <c r="I14" s="100">
        <v>5</v>
      </c>
      <c r="J14" s="100">
        <v>5</v>
      </c>
      <c r="K14" s="100">
        <v>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28.799999999999997</v>
      </c>
      <c r="E15" s="96">
        <f t="shared" ref="E15:K15" si="3">E14*E4</f>
        <v>29.4</v>
      </c>
      <c r="F15" s="96">
        <f t="shared" si="3"/>
        <v>33.25</v>
      </c>
      <c r="G15" s="96">
        <f t="shared" si="3"/>
        <v>36.700000000000003</v>
      </c>
      <c r="H15" s="96">
        <f t="shared" si="3"/>
        <v>33.25</v>
      </c>
      <c r="I15" s="96">
        <f t="shared" si="3"/>
        <v>35.299999999999997</v>
      </c>
      <c r="J15" s="96">
        <f t="shared" si="3"/>
        <v>38.35</v>
      </c>
      <c r="K15" s="96">
        <f t="shared" si="3"/>
        <v>34.200000000000003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385.46496000000002</v>
      </c>
      <c r="E17" s="85">
        <f t="shared" ref="E17:K17" si="4">E10*E9+E13*E12+E16*E15</f>
        <v>393.58955999999995</v>
      </c>
      <c r="F17" s="85">
        <f t="shared" si="4"/>
        <v>466.81670000000008</v>
      </c>
      <c r="G17" s="85">
        <f t="shared" si="4"/>
        <v>518.58568000000002</v>
      </c>
      <c r="H17" s="85">
        <f t="shared" si="4"/>
        <v>439.17930000000007</v>
      </c>
      <c r="I17" s="85">
        <f t="shared" si="4"/>
        <v>456.62667999999996</v>
      </c>
      <c r="J17" s="85">
        <f t="shared" si="4"/>
        <v>523.84566000000007</v>
      </c>
      <c r="K17" s="85">
        <f t="shared" si="4"/>
        <v>578.34251999999992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385.46496000000002</v>
      </c>
      <c r="E18" s="31">
        <f t="shared" ref="E18:K18" si="5">E17</f>
        <v>393.58955999999995</v>
      </c>
      <c r="F18" s="31">
        <f t="shared" si="5"/>
        <v>466.81670000000008</v>
      </c>
      <c r="G18" s="31">
        <f t="shared" si="5"/>
        <v>518.58568000000002</v>
      </c>
      <c r="H18" s="31">
        <f t="shared" si="5"/>
        <v>439.17930000000007</v>
      </c>
      <c r="I18" s="31">
        <f t="shared" si="5"/>
        <v>456.62667999999996</v>
      </c>
      <c r="J18" s="31">
        <f t="shared" si="5"/>
        <v>523.84566000000007</v>
      </c>
      <c r="K18" s="31">
        <f t="shared" si="5"/>
        <v>578.34251999999992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41+333+242+25</f>
        <v>641</v>
      </c>
      <c r="E19" s="34">
        <f>41+329+343+26</f>
        <v>739</v>
      </c>
      <c r="F19" s="34">
        <f>40+333+342+27</f>
        <v>742</v>
      </c>
      <c r="G19" s="34">
        <f>40+337+309+27</f>
        <v>713</v>
      </c>
      <c r="H19" s="34">
        <f>40+338+407+24</f>
        <v>809</v>
      </c>
      <c r="I19" s="34">
        <f>51+331+432+23</f>
        <v>837</v>
      </c>
      <c r="J19" s="34">
        <f>52+360+445+22</f>
        <v>879</v>
      </c>
      <c r="K19" s="34">
        <f>56+420+460+22</f>
        <v>958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1164.46496</v>
      </c>
      <c r="E20" s="38">
        <f t="shared" si="6"/>
        <v>1270.5895599999999</v>
      </c>
      <c r="F20" s="38">
        <f t="shared" si="6"/>
        <v>1346.8167000000001</v>
      </c>
      <c r="G20" s="38">
        <f t="shared" si="6"/>
        <v>1372.8756800000001</v>
      </c>
      <c r="H20" s="38">
        <f t="shared" si="6"/>
        <v>1392.7393</v>
      </c>
      <c r="I20" s="38">
        <f t="shared" si="6"/>
        <v>1438.5366799999999</v>
      </c>
      <c r="J20" s="38">
        <f t="shared" si="6"/>
        <v>1548.0656600000002</v>
      </c>
      <c r="K20" s="38">
        <f t="shared" si="6"/>
        <v>1681.5625199999999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-280.70816000000002</v>
      </c>
      <c r="E21" s="6">
        <f t="shared" si="7"/>
        <v>-496.72275999999988</v>
      </c>
      <c r="F21" s="6">
        <f t="shared" si="7"/>
        <v>-368.66819999999996</v>
      </c>
      <c r="G21" s="6">
        <f t="shared" si="7"/>
        <v>-293.89568000000008</v>
      </c>
      <c r="H21" s="6">
        <f t="shared" si="7"/>
        <v>-507.09229999999991</v>
      </c>
      <c r="I21" s="6">
        <f t="shared" si="7"/>
        <v>-476.11748</v>
      </c>
      <c r="J21" s="6">
        <f t="shared" si="7"/>
        <v>79.124839999999722</v>
      </c>
      <c r="K21" s="6">
        <f t="shared" si="7"/>
        <v>491.91588000000002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0.86</v>
      </c>
      <c r="E25" s="29">
        <v>0.86</v>
      </c>
      <c r="F25" s="29">
        <v>0.86</v>
      </c>
      <c r="G25" s="29">
        <v>7.66</v>
      </c>
      <c r="H25" s="29">
        <v>6.92</v>
      </c>
      <c r="I25" s="29">
        <v>7.31</v>
      </c>
      <c r="J25" s="29">
        <v>7.68</v>
      </c>
      <c r="K25" s="29">
        <v>6.66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3.44</v>
      </c>
      <c r="E26" s="29">
        <v>10.63</v>
      </c>
      <c r="F26" s="29">
        <v>1.83</v>
      </c>
      <c r="G26" s="29">
        <v>7.66</v>
      </c>
      <c r="H26" s="29">
        <v>6.92</v>
      </c>
      <c r="I26" s="29">
        <v>7.31</v>
      </c>
      <c r="J26" s="29">
        <v>7.68</v>
      </c>
      <c r="K26" s="29">
        <v>6.66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6.27</v>
      </c>
      <c r="E28" s="29">
        <v>10</v>
      </c>
      <c r="F28" s="29">
        <v>9.2100000000000009</v>
      </c>
      <c r="G28" s="29">
        <v>7.66</v>
      </c>
      <c r="H28" s="29">
        <v>6.92</v>
      </c>
      <c r="I28" s="29">
        <v>6.02</v>
      </c>
      <c r="J28" s="29">
        <v>7.68</v>
      </c>
      <c r="K28" s="29">
        <v>6.66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8</v>
      </c>
      <c r="E29" s="29">
        <v>10.130000000000001</v>
      </c>
      <c r="F29" s="29">
        <v>7.43</v>
      </c>
      <c r="G29" s="29">
        <v>7.66</v>
      </c>
      <c r="H29" s="29">
        <v>6.39</v>
      </c>
      <c r="I29" s="29">
        <v>7.31</v>
      </c>
      <c r="J29" s="29">
        <v>7.68</v>
      </c>
      <c r="K29" s="29">
        <v>6.66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9.75</v>
      </c>
      <c r="E30" s="29">
        <v>10.55</v>
      </c>
      <c r="F30" s="29">
        <v>8.4499999999999993</v>
      </c>
      <c r="G30" s="29">
        <v>10.5</v>
      </c>
      <c r="H30" s="29">
        <v>9.33</v>
      </c>
      <c r="I30" s="29">
        <v>9.9499999999999993</v>
      </c>
      <c r="J30" s="29">
        <v>10.58</v>
      </c>
      <c r="K30" s="29">
        <v>8.66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2.8</v>
      </c>
      <c r="E31" s="29">
        <v>4.72</v>
      </c>
      <c r="F31" s="29">
        <v>3.03</v>
      </c>
      <c r="G31" s="29">
        <v>4.82</v>
      </c>
      <c r="H31" s="29">
        <v>5.05</v>
      </c>
      <c r="I31" s="29">
        <v>5.96</v>
      </c>
      <c r="J31" s="29">
        <v>6.14</v>
      </c>
      <c r="K31" s="29">
        <v>5.54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80B8-338C-48DC-81DD-54CAAAB3A4E1}">
  <dimension ref="A3:T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0" ht="15.75" thickBot="1" x14ac:dyDescent="0.3">
      <c r="A3" s="4" t="s">
        <v>278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0" ht="15.75" thickBot="1" x14ac:dyDescent="0.3">
      <c r="A4" s="5" t="s">
        <v>249</v>
      </c>
      <c r="B4" s="5"/>
      <c r="C4" s="5" t="s">
        <v>171</v>
      </c>
      <c r="D4" s="29">
        <v>46.5</v>
      </c>
      <c r="E4" s="29">
        <v>37.6</v>
      </c>
      <c r="F4" s="29">
        <v>38.9</v>
      </c>
      <c r="G4" s="29">
        <v>40.6</v>
      </c>
      <c r="H4" s="29">
        <v>41.7</v>
      </c>
      <c r="I4" s="29">
        <v>34</v>
      </c>
      <c r="J4" s="29">
        <v>38.5</v>
      </c>
      <c r="K4" s="29">
        <v>38.5</v>
      </c>
      <c r="M4" s="72"/>
      <c r="N4" s="72"/>
      <c r="O4" s="72"/>
      <c r="P4" s="72"/>
      <c r="Q4" s="72"/>
      <c r="R4" s="72"/>
      <c r="S4" s="73"/>
      <c r="T4" s="73"/>
    </row>
    <row r="5" spans="1:20" x14ac:dyDescent="0.25">
      <c r="A5" s="5" t="s">
        <v>175</v>
      </c>
      <c r="B5" s="40" t="s">
        <v>1</v>
      </c>
      <c r="C5" s="5" t="s">
        <v>178</v>
      </c>
      <c r="D5" s="60">
        <v>53.1</v>
      </c>
      <c r="E5" s="60">
        <v>57.6</v>
      </c>
      <c r="F5" s="48">
        <v>49.8</v>
      </c>
      <c r="G5" s="60">
        <v>51.3</v>
      </c>
      <c r="H5" s="60">
        <v>57</v>
      </c>
      <c r="I5" s="60">
        <v>64</v>
      </c>
      <c r="J5" s="60">
        <v>57.4</v>
      </c>
      <c r="K5" s="60">
        <v>57.4</v>
      </c>
    </row>
    <row r="6" spans="1:20" x14ac:dyDescent="0.25">
      <c r="A6" s="5" t="s">
        <v>176</v>
      </c>
      <c r="B6" s="40" t="s">
        <v>1</v>
      </c>
      <c r="C6" s="5" t="s">
        <v>177</v>
      </c>
      <c r="D6" s="32">
        <f>D5*D4</f>
        <v>2469.15</v>
      </c>
      <c r="E6" s="32">
        <f t="shared" ref="E6:K6" si="0">E5*E4</f>
        <v>2165.7600000000002</v>
      </c>
      <c r="F6" s="32">
        <f t="shared" si="0"/>
        <v>1937.2199999999998</v>
      </c>
      <c r="G6" s="32">
        <f t="shared" si="0"/>
        <v>2082.7799999999997</v>
      </c>
      <c r="H6" s="32">
        <f t="shared" si="0"/>
        <v>2376.9</v>
      </c>
      <c r="I6" s="32">
        <f t="shared" si="0"/>
        <v>2176</v>
      </c>
      <c r="J6" s="32">
        <f t="shared" si="0"/>
        <v>2209.9</v>
      </c>
      <c r="K6" s="32">
        <f t="shared" si="0"/>
        <v>2209.9</v>
      </c>
    </row>
    <row r="7" spans="1:20" x14ac:dyDescent="0.25">
      <c r="A7" s="5" t="s">
        <v>0</v>
      </c>
      <c r="B7" s="5" t="s">
        <v>4</v>
      </c>
      <c r="C7" s="5" t="s">
        <v>3</v>
      </c>
      <c r="D7" s="3">
        <v>192.59</v>
      </c>
      <c r="E7" s="3">
        <v>192.59</v>
      </c>
      <c r="F7" s="3">
        <v>202.31</v>
      </c>
      <c r="G7" s="3">
        <v>203.06</v>
      </c>
      <c r="H7" s="3">
        <v>203.82</v>
      </c>
      <c r="I7" s="3">
        <v>203.42</v>
      </c>
      <c r="J7" s="3">
        <v>203.04</v>
      </c>
      <c r="K7" s="3">
        <v>235.94</v>
      </c>
    </row>
    <row r="8" spans="1:20" x14ac:dyDescent="0.25">
      <c r="A8" s="5" t="s">
        <v>172</v>
      </c>
      <c r="B8" s="40" t="s">
        <v>1</v>
      </c>
      <c r="C8" s="5" t="s">
        <v>247</v>
      </c>
      <c r="D8" s="35">
        <v>4.5999999999999996</v>
      </c>
      <c r="E8" s="35">
        <v>4.5999999999999996</v>
      </c>
      <c r="F8" s="35">
        <v>4.5999999999999996</v>
      </c>
      <c r="G8" s="35">
        <v>4.5999999999999996</v>
      </c>
      <c r="H8" s="35">
        <v>4.5999999999999996</v>
      </c>
      <c r="I8" s="35">
        <v>4.5999999999999996</v>
      </c>
      <c r="J8" s="35">
        <v>4.5999999999999996</v>
      </c>
      <c r="K8" s="35">
        <v>4.5999999999999996</v>
      </c>
    </row>
    <row r="9" spans="1:20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213.89999999999998</v>
      </c>
      <c r="E9" s="49">
        <f t="shared" si="1"/>
        <v>172.95999999999998</v>
      </c>
      <c r="F9" s="49">
        <f t="shared" si="1"/>
        <v>178.93999999999997</v>
      </c>
      <c r="G9" s="49">
        <f t="shared" si="1"/>
        <v>186.76</v>
      </c>
      <c r="H9" s="49">
        <f t="shared" si="1"/>
        <v>191.82</v>
      </c>
      <c r="I9" s="49">
        <f t="shared" si="1"/>
        <v>156.39999999999998</v>
      </c>
      <c r="J9" s="49">
        <f t="shared" si="1"/>
        <v>177.1</v>
      </c>
      <c r="K9" s="49">
        <f t="shared" si="1"/>
        <v>177.1</v>
      </c>
    </row>
    <row r="10" spans="1:20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0" x14ac:dyDescent="0.25">
      <c r="A11" s="5" t="s">
        <v>307</v>
      </c>
      <c r="B11" s="40" t="s">
        <v>1</v>
      </c>
      <c r="C11" s="5" t="s">
        <v>309</v>
      </c>
      <c r="D11" s="110">
        <v>2</v>
      </c>
      <c r="E11" s="98">
        <v>2</v>
      </c>
      <c r="F11" s="98">
        <v>2</v>
      </c>
      <c r="G11" s="98">
        <v>2</v>
      </c>
      <c r="H11" s="98">
        <v>2</v>
      </c>
      <c r="I11" s="98">
        <v>2</v>
      </c>
      <c r="J11" s="98">
        <v>2</v>
      </c>
      <c r="K11" s="98">
        <v>2</v>
      </c>
    </row>
    <row r="12" spans="1:20" x14ac:dyDescent="0.25">
      <c r="A12" s="5" t="s">
        <v>307</v>
      </c>
      <c r="B12" s="40" t="s">
        <v>1</v>
      </c>
      <c r="C12" s="5" t="s">
        <v>310</v>
      </c>
      <c r="D12" s="96">
        <f>D11*D4</f>
        <v>93</v>
      </c>
      <c r="E12" s="96">
        <f t="shared" ref="E12:K12" si="2">E11*E4</f>
        <v>75.2</v>
      </c>
      <c r="F12" s="96">
        <f t="shared" si="2"/>
        <v>77.8</v>
      </c>
      <c r="G12" s="96">
        <f t="shared" si="2"/>
        <v>81.2</v>
      </c>
      <c r="H12" s="96">
        <f t="shared" si="2"/>
        <v>83.4</v>
      </c>
      <c r="I12" s="96">
        <f t="shared" si="2"/>
        <v>68</v>
      </c>
      <c r="J12" s="96">
        <f t="shared" si="2"/>
        <v>77</v>
      </c>
      <c r="K12" s="96">
        <f t="shared" si="2"/>
        <v>77</v>
      </c>
    </row>
    <row r="13" spans="1:20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0" x14ac:dyDescent="0.25">
      <c r="A14" s="5" t="s">
        <v>308</v>
      </c>
      <c r="B14" s="40" t="s">
        <v>1</v>
      </c>
      <c r="C14" s="5" t="s">
        <v>312</v>
      </c>
      <c r="D14" s="101">
        <v>6.5</v>
      </c>
      <c r="E14" s="101">
        <v>6.5</v>
      </c>
      <c r="F14" s="101">
        <v>6.5</v>
      </c>
      <c r="G14" s="101">
        <v>6.5</v>
      </c>
      <c r="H14" s="101">
        <v>6.5</v>
      </c>
      <c r="I14" s="101">
        <v>6.5</v>
      </c>
      <c r="J14" s="101">
        <v>6.5</v>
      </c>
      <c r="K14" s="101">
        <v>6.5</v>
      </c>
    </row>
    <row r="15" spans="1:20" x14ac:dyDescent="0.25">
      <c r="A15" s="5" t="s">
        <v>308</v>
      </c>
      <c r="B15" s="40" t="s">
        <v>1</v>
      </c>
      <c r="C15" s="5" t="s">
        <v>313</v>
      </c>
      <c r="D15" s="96">
        <f>D14*D4</f>
        <v>302.25</v>
      </c>
      <c r="E15" s="96">
        <f t="shared" ref="E15:K15" si="3">E14*E4</f>
        <v>244.4</v>
      </c>
      <c r="F15" s="96">
        <f t="shared" si="3"/>
        <v>252.85</v>
      </c>
      <c r="G15" s="96">
        <f t="shared" si="3"/>
        <v>263.90000000000003</v>
      </c>
      <c r="H15" s="96">
        <f t="shared" si="3"/>
        <v>271.05</v>
      </c>
      <c r="I15" s="96">
        <f t="shared" si="3"/>
        <v>221</v>
      </c>
      <c r="J15" s="96">
        <f t="shared" si="3"/>
        <v>250.25</v>
      </c>
      <c r="K15" s="96">
        <f t="shared" si="3"/>
        <v>250.25</v>
      </c>
    </row>
    <row r="16" spans="1:20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0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1317.1590000000001</v>
      </c>
      <c r="E17" s="85">
        <f t="shared" ref="E17:K17" si="4">E10*E9+E13*E12+E16*E15</f>
        <v>1057.1992</v>
      </c>
      <c r="F17" s="85">
        <f t="shared" si="4"/>
        <v>1123.1596999999999</v>
      </c>
      <c r="G17" s="85">
        <f t="shared" si="4"/>
        <v>1171.7972</v>
      </c>
      <c r="H17" s="85">
        <f t="shared" si="4"/>
        <v>1145.1653999999999</v>
      </c>
      <c r="I17" s="85">
        <f t="shared" si="4"/>
        <v>913.85199999999998</v>
      </c>
      <c r="J17" s="85">
        <f t="shared" si="4"/>
        <v>1073.6880000000001</v>
      </c>
      <c r="K17" s="85">
        <f t="shared" si="4"/>
        <v>1432.123</v>
      </c>
    </row>
    <row r="18" spans="1:20" x14ac:dyDescent="0.25">
      <c r="A18" s="5" t="s">
        <v>173</v>
      </c>
      <c r="B18" s="40" t="s">
        <v>1</v>
      </c>
      <c r="C18" s="5" t="s">
        <v>177</v>
      </c>
      <c r="D18" s="31">
        <f>D17</f>
        <v>1317.1590000000001</v>
      </c>
      <c r="E18" s="31">
        <f t="shared" ref="E18:K18" si="5">E17</f>
        <v>1057.1992</v>
      </c>
      <c r="F18" s="31">
        <f t="shared" si="5"/>
        <v>1123.1596999999999</v>
      </c>
      <c r="G18" s="31">
        <f t="shared" si="5"/>
        <v>1171.7972</v>
      </c>
      <c r="H18" s="31">
        <f t="shared" si="5"/>
        <v>1145.1653999999999</v>
      </c>
      <c r="I18" s="31">
        <f t="shared" si="5"/>
        <v>913.85199999999998</v>
      </c>
      <c r="J18" s="31">
        <f t="shared" si="5"/>
        <v>1073.6880000000001</v>
      </c>
      <c r="K18" s="31">
        <f t="shared" si="5"/>
        <v>1432.123</v>
      </c>
    </row>
    <row r="19" spans="1:20" ht="45" x14ac:dyDescent="0.25">
      <c r="A19" s="5" t="s">
        <v>0</v>
      </c>
      <c r="B19" s="5" t="s">
        <v>4</v>
      </c>
      <c r="C19" s="7" t="s">
        <v>5</v>
      </c>
      <c r="D19" s="37">
        <v>153.39366515837105</v>
      </c>
      <c r="E19" s="34">
        <v>152.48868778280544</v>
      </c>
      <c r="F19" s="34">
        <v>151.58371040723983</v>
      </c>
      <c r="G19" s="34">
        <v>156.10859728506787</v>
      </c>
      <c r="H19" s="34">
        <v>155.65610859728508</v>
      </c>
      <c r="I19" s="34">
        <v>199.09502262443439</v>
      </c>
      <c r="J19" s="34">
        <v>213.57466063348417</v>
      </c>
      <c r="K19" s="34">
        <v>238.91402714932127</v>
      </c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1663.1426651583711</v>
      </c>
      <c r="E20" s="38">
        <f t="shared" si="6"/>
        <v>1402.2778877828055</v>
      </c>
      <c r="F20" s="38">
        <f t="shared" si="6"/>
        <v>1477.0534104072399</v>
      </c>
      <c r="G20" s="38">
        <f t="shared" si="6"/>
        <v>1530.9657972850678</v>
      </c>
      <c r="H20" s="38">
        <f t="shared" si="6"/>
        <v>1504.6415085972849</v>
      </c>
      <c r="I20" s="38">
        <f t="shared" si="6"/>
        <v>1316.3670226244344</v>
      </c>
      <c r="J20" s="38">
        <f t="shared" si="6"/>
        <v>1490.3026606334843</v>
      </c>
      <c r="K20" s="38">
        <f t="shared" si="6"/>
        <v>1906.9770271493212</v>
      </c>
    </row>
    <row r="21" spans="1:20" x14ac:dyDescent="0.25">
      <c r="A21" s="5" t="s">
        <v>6</v>
      </c>
      <c r="B21" s="5"/>
      <c r="C21" s="25" t="s">
        <v>177</v>
      </c>
      <c r="D21" s="6">
        <f t="shared" ref="D21:K21" si="7">D6-D20</f>
        <v>806.00733484162902</v>
      </c>
      <c r="E21" s="6">
        <f t="shared" si="7"/>
        <v>763.48211221719475</v>
      </c>
      <c r="F21" s="6">
        <f t="shared" si="7"/>
        <v>460.16658959275992</v>
      </c>
      <c r="G21" s="6">
        <f t="shared" si="7"/>
        <v>551.81420271493198</v>
      </c>
      <c r="H21" s="6">
        <f t="shared" si="7"/>
        <v>872.25849140271521</v>
      </c>
      <c r="I21" s="6">
        <f t="shared" si="7"/>
        <v>859.63297737556559</v>
      </c>
      <c r="J21" s="6">
        <f t="shared" si="7"/>
        <v>719.59733936651583</v>
      </c>
      <c r="K21" s="6">
        <f t="shared" si="7"/>
        <v>302.92297285067889</v>
      </c>
    </row>
    <row r="23" spans="1:20" ht="15.75" thickBot="1" x14ac:dyDescent="0.3">
      <c r="B23" s="2" t="s">
        <v>180</v>
      </c>
    </row>
    <row r="24" spans="1:20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20" ht="15.75" thickBot="1" x14ac:dyDescent="0.3">
      <c r="A25" s="5" t="s">
        <v>2</v>
      </c>
      <c r="B25" t="s">
        <v>182</v>
      </c>
      <c r="C25" s="5" t="s">
        <v>171</v>
      </c>
      <c r="D25" s="29"/>
      <c r="E25" s="29"/>
      <c r="F25" s="29"/>
      <c r="G25" s="29"/>
      <c r="H25" s="29"/>
      <c r="I25" s="29"/>
      <c r="J25" s="29"/>
      <c r="K25" s="29"/>
    </row>
    <row r="26" spans="1:20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20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20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20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20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20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979E-901B-4E91-BDC1-22480B139BB8}">
  <dimension ref="A3:K31"/>
  <sheetViews>
    <sheetView workbookViewId="0">
      <selection activeCell="D8" sqref="D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5.48</v>
      </c>
      <c r="E4" s="29">
        <v>7.6</v>
      </c>
      <c r="F4" s="29">
        <v>5.56</v>
      </c>
      <c r="G4" s="29">
        <v>7.25</v>
      </c>
      <c r="H4" s="29">
        <v>5.83</v>
      </c>
      <c r="I4" s="29">
        <v>6.77</v>
      </c>
      <c r="J4" s="29">
        <v>5.8</v>
      </c>
      <c r="K4" s="29">
        <v>5.91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344.65</v>
      </c>
      <c r="E5" s="3">
        <v>339</v>
      </c>
      <c r="F5" s="3">
        <v>355.95</v>
      </c>
      <c r="G5" s="3">
        <v>305.10000000000002</v>
      </c>
      <c r="H5" s="3">
        <v>231.65</v>
      </c>
      <c r="I5" s="3">
        <v>224.59</v>
      </c>
      <c r="J5" s="3">
        <v>355.95</v>
      </c>
      <c r="K5" s="3">
        <v>497.2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1888.682</v>
      </c>
      <c r="E6" s="32">
        <f t="shared" ref="E6:K6" si="0">E5*E4</f>
        <v>2576.4</v>
      </c>
      <c r="F6" s="32">
        <f t="shared" si="0"/>
        <v>1979.0819999999999</v>
      </c>
      <c r="G6" s="32">
        <f t="shared" si="0"/>
        <v>2211.9750000000004</v>
      </c>
      <c r="H6" s="32">
        <f t="shared" si="0"/>
        <v>1350.5195000000001</v>
      </c>
      <c r="I6" s="32">
        <f t="shared" si="0"/>
        <v>1520.4742999999999</v>
      </c>
      <c r="J6" s="32">
        <f t="shared" si="0"/>
        <v>2064.5099999999998</v>
      </c>
      <c r="K6" s="32">
        <f t="shared" si="0"/>
        <v>2938.4520000000002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179.2</v>
      </c>
      <c r="E7" s="3">
        <v>179.2</v>
      </c>
      <c r="F7" s="52">
        <v>179.2</v>
      </c>
      <c r="G7" s="52">
        <v>179.2</v>
      </c>
      <c r="H7" s="52">
        <v>179.2</v>
      </c>
      <c r="I7" s="52">
        <v>179.2</v>
      </c>
      <c r="J7" s="3">
        <v>223.87</v>
      </c>
      <c r="K7" s="3">
        <v>268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13.8</v>
      </c>
      <c r="E8" s="35">
        <v>13.8</v>
      </c>
      <c r="F8" s="35">
        <v>13.8</v>
      </c>
      <c r="G8" s="35">
        <v>13.8</v>
      </c>
      <c r="H8" s="35">
        <v>13.8</v>
      </c>
      <c r="I8" s="35">
        <v>13.8</v>
      </c>
      <c r="J8" s="35">
        <v>13.8</v>
      </c>
      <c r="K8" s="35">
        <v>13.8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75.624000000000009</v>
      </c>
      <c r="E9" s="49">
        <f t="shared" ref="E9:K9" si="1">E8*E4</f>
        <v>104.88</v>
      </c>
      <c r="F9" s="49">
        <f t="shared" si="1"/>
        <v>76.727999999999994</v>
      </c>
      <c r="G9" s="49">
        <f t="shared" si="1"/>
        <v>100.05000000000001</v>
      </c>
      <c r="H9" s="49">
        <f t="shared" si="1"/>
        <v>80.454000000000008</v>
      </c>
      <c r="I9" s="49">
        <f t="shared" si="1"/>
        <v>93.426000000000002</v>
      </c>
      <c r="J9" s="49">
        <f t="shared" si="1"/>
        <v>80.040000000000006</v>
      </c>
      <c r="K9" s="49">
        <f t="shared" si="1"/>
        <v>81.558000000000007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8.1</v>
      </c>
      <c r="E11" s="98">
        <v>8.1</v>
      </c>
      <c r="F11" s="98">
        <v>8.1</v>
      </c>
      <c r="G11" s="98">
        <v>8.1</v>
      </c>
      <c r="H11" s="98">
        <v>8.1</v>
      </c>
      <c r="I11" s="98">
        <v>8.1</v>
      </c>
      <c r="J11" s="98">
        <v>8.1</v>
      </c>
      <c r="K11" s="98">
        <v>8.1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44.387999999999998</v>
      </c>
      <c r="E12" s="96">
        <f t="shared" ref="E12:K12" si="2">E11*E4</f>
        <v>61.559999999999995</v>
      </c>
      <c r="F12" s="96">
        <f t="shared" si="2"/>
        <v>45.035999999999994</v>
      </c>
      <c r="G12" s="96">
        <f t="shared" si="2"/>
        <v>58.724999999999994</v>
      </c>
      <c r="H12" s="96">
        <f t="shared" si="2"/>
        <v>47.222999999999999</v>
      </c>
      <c r="I12" s="96">
        <f t="shared" si="2"/>
        <v>54.836999999999996</v>
      </c>
      <c r="J12" s="96">
        <f t="shared" si="2"/>
        <v>46.98</v>
      </c>
      <c r="K12" s="96">
        <f t="shared" si="2"/>
        <v>47.871000000000002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4.9000000000000004</v>
      </c>
      <c r="E14" s="101">
        <v>4.9000000000000004</v>
      </c>
      <c r="F14" s="101">
        <v>4.9000000000000004</v>
      </c>
      <c r="G14" s="101">
        <v>4.9000000000000004</v>
      </c>
      <c r="H14" s="101">
        <v>4.9000000000000004</v>
      </c>
      <c r="I14" s="101">
        <v>4.9000000000000004</v>
      </c>
      <c r="J14" s="101">
        <v>4.9000000000000004</v>
      </c>
      <c r="K14" s="101">
        <v>4.9000000000000004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26.852000000000004</v>
      </c>
      <c r="E15" s="96">
        <f t="shared" ref="E15:K15" si="3">E14*E4</f>
        <v>37.24</v>
      </c>
      <c r="F15" s="96">
        <f t="shared" si="3"/>
        <v>27.244</v>
      </c>
      <c r="G15" s="96">
        <f t="shared" si="3"/>
        <v>35.525000000000006</v>
      </c>
      <c r="H15" s="96">
        <f t="shared" si="3"/>
        <v>28.567000000000004</v>
      </c>
      <c r="I15" s="96">
        <f t="shared" si="3"/>
        <v>33.173000000000002</v>
      </c>
      <c r="J15" s="96">
        <f t="shared" si="3"/>
        <v>28.42</v>
      </c>
      <c r="K15" s="96">
        <f t="shared" si="3"/>
        <v>28.959000000000003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344.40704000000005</v>
      </c>
      <c r="E17" s="85">
        <f t="shared" ref="E17:K17" si="4">E10*E9+E13*E12+E16*E15</f>
        <v>477.15079999999995</v>
      </c>
      <c r="F17" s="85">
        <f t="shared" si="4"/>
        <v>364.91948000000002</v>
      </c>
      <c r="G17" s="85">
        <f t="shared" si="4"/>
        <v>478.77550000000002</v>
      </c>
      <c r="H17" s="85">
        <f t="shared" si="4"/>
        <v>360.39310999999998</v>
      </c>
      <c r="I17" s="85">
        <f t="shared" si="4"/>
        <v>409.59854000000007</v>
      </c>
      <c r="J17" s="85">
        <f t="shared" si="4"/>
        <v>372.15120000000002</v>
      </c>
      <c r="K17" s="85">
        <f t="shared" si="4"/>
        <v>473.35554000000002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344.40704000000005</v>
      </c>
      <c r="E18" s="31">
        <f t="shared" ref="E18:K18" si="5">E17</f>
        <v>477.15079999999995</v>
      </c>
      <c r="F18" s="31">
        <f t="shared" si="5"/>
        <v>364.91948000000002</v>
      </c>
      <c r="G18" s="31">
        <f t="shared" si="5"/>
        <v>478.77550000000002</v>
      </c>
      <c r="H18" s="31">
        <f t="shared" si="5"/>
        <v>360.39310999999998</v>
      </c>
      <c r="I18" s="31">
        <f t="shared" si="5"/>
        <v>409.59854000000007</v>
      </c>
      <c r="J18" s="31">
        <f t="shared" si="5"/>
        <v>372.15120000000002</v>
      </c>
      <c r="K18" s="31">
        <f t="shared" si="5"/>
        <v>473.35554000000002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330+230+24</f>
        <v>584</v>
      </c>
      <c r="E19" s="34">
        <f>344+443+26</f>
        <v>813</v>
      </c>
      <c r="F19" s="34">
        <f>333+286+27</f>
        <v>646</v>
      </c>
      <c r="G19" s="34">
        <f>355+305+27</f>
        <v>687</v>
      </c>
      <c r="H19" s="34">
        <f>342+357+23</f>
        <v>722</v>
      </c>
      <c r="I19" s="34">
        <f>335+415+22</f>
        <v>772</v>
      </c>
      <c r="J19" s="34">
        <f>356+336+22</f>
        <v>714</v>
      </c>
      <c r="K19" s="34">
        <f>427+398+22</f>
        <v>847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1107.6070400000001</v>
      </c>
      <c r="E20" s="38">
        <f t="shared" si="6"/>
        <v>1469.3507999999999</v>
      </c>
      <c r="F20" s="38">
        <f t="shared" si="6"/>
        <v>1190.1194800000001</v>
      </c>
      <c r="G20" s="38">
        <f t="shared" si="6"/>
        <v>1344.9755</v>
      </c>
      <c r="H20" s="38">
        <f t="shared" si="6"/>
        <v>1261.59311</v>
      </c>
      <c r="I20" s="38">
        <f t="shared" si="6"/>
        <v>1360.7985400000002</v>
      </c>
      <c r="J20" s="38">
        <f t="shared" si="6"/>
        <v>1310.0212000000001</v>
      </c>
      <c r="K20" s="38">
        <f t="shared" si="6"/>
        <v>1588.35554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781.07495999999992</v>
      </c>
      <c r="E21" s="6">
        <f t="shared" si="7"/>
        <v>1107.0492000000002</v>
      </c>
      <c r="F21" s="6">
        <f t="shared" si="7"/>
        <v>788.96251999999981</v>
      </c>
      <c r="G21" s="6">
        <f t="shared" si="7"/>
        <v>866.99950000000035</v>
      </c>
      <c r="H21" s="6">
        <f t="shared" si="7"/>
        <v>88.926390000000083</v>
      </c>
      <c r="I21" s="6">
        <f t="shared" si="7"/>
        <v>159.67575999999963</v>
      </c>
      <c r="J21" s="6">
        <f t="shared" si="7"/>
        <v>754.48879999999963</v>
      </c>
      <c r="K21" s="6">
        <f t="shared" si="7"/>
        <v>1350.0964600000002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5</v>
      </c>
      <c r="E24" s="29">
        <v>3.33</v>
      </c>
      <c r="F24" s="29">
        <v>10</v>
      </c>
      <c r="G24" s="29">
        <v>9.01</v>
      </c>
      <c r="H24" s="29">
        <v>7.22</v>
      </c>
      <c r="I24" s="29">
        <v>7.72</v>
      </c>
      <c r="J24" s="29">
        <v>5.87</v>
      </c>
      <c r="K24" s="29">
        <v>5.91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1"/>
      <c r="E25" s="51"/>
      <c r="F25" s="51"/>
      <c r="G25" s="51"/>
      <c r="H25" s="51"/>
      <c r="I25" s="51"/>
      <c r="J25" s="51"/>
      <c r="K25" s="51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12.93</v>
      </c>
      <c r="E26" s="29">
        <v>5.59</v>
      </c>
      <c r="F26" s="29">
        <v>8.1999999999999993</v>
      </c>
      <c r="G26" s="29">
        <v>7.69</v>
      </c>
      <c r="H26" s="29">
        <v>7.79</v>
      </c>
      <c r="I26" s="29">
        <v>9.42</v>
      </c>
      <c r="J26" s="29">
        <v>6.08</v>
      </c>
      <c r="K26" s="29">
        <v>7.43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5.3</v>
      </c>
      <c r="E27" s="29">
        <v>7.77</v>
      </c>
      <c r="F27" s="29">
        <v>7.77</v>
      </c>
      <c r="G27" s="29">
        <v>7.87</v>
      </c>
      <c r="H27" s="29">
        <v>10.56</v>
      </c>
      <c r="I27" s="29">
        <v>4.47</v>
      </c>
      <c r="J27" s="29">
        <v>6.05</v>
      </c>
      <c r="K27" s="29">
        <v>9.24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8.5399999999999991</v>
      </c>
      <c r="E28" s="39">
        <v>9.23</v>
      </c>
      <c r="F28" s="39">
        <v>6.6</v>
      </c>
      <c r="G28" s="39">
        <v>6.84</v>
      </c>
      <c r="H28" s="39">
        <v>4.74</v>
      </c>
      <c r="I28" s="39">
        <v>8.49</v>
      </c>
      <c r="J28" s="39">
        <v>5.31</v>
      </c>
      <c r="K28" s="39">
        <v>8.19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6.34</v>
      </c>
      <c r="E29" s="29">
        <v>6.62</v>
      </c>
      <c r="F29" s="29">
        <v>6.59</v>
      </c>
      <c r="G29" s="29">
        <v>10.15</v>
      </c>
      <c r="H29" s="29">
        <v>6.63</v>
      </c>
      <c r="I29" s="29">
        <v>8.3699999999999992</v>
      </c>
      <c r="J29" s="29">
        <v>8.65</v>
      </c>
      <c r="K29" s="29">
        <v>9.7799999999999994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6.73</v>
      </c>
      <c r="E30" s="29">
        <v>8.4499999999999993</v>
      </c>
      <c r="F30" s="29">
        <v>13.02</v>
      </c>
      <c r="G30" s="29">
        <v>8.44</v>
      </c>
      <c r="H30" s="29">
        <v>7.35</v>
      </c>
      <c r="I30" s="29">
        <v>9.4600000000000009</v>
      </c>
      <c r="J30" s="29">
        <v>7.73</v>
      </c>
      <c r="K30" s="29">
        <v>7.22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4.76</v>
      </c>
      <c r="E31" s="29">
        <v>7.7</v>
      </c>
      <c r="F31" s="29">
        <v>4.66</v>
      </c>
      <c r="G31" s="29">
        <v>6.61</v>
      </c>
      <c r="H31" s="29">
        <v>5.53</v>
      </c>
      <c r="I31" s="29">
        <v>6.12</v>
      </c>
      <c r="J31" s="29">
        <v>5.12</v>
      </c>
      <c r="K31" s="29">
        <v>4.46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403-E4E3-49A8-A597-EB2AAA0D64A5}">
  <dimension ref="A3:K31"/>
  <sheetViews>
    <sheetView workbookViewId="0">
      <selection activeCell="D21" sqref="D2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24.5</v>
      </c>
      <c r="E4" s="29">
        <v>24.5</v>
      </c>
      <c r="F4" s="29">
        <v>24.5</v>
      </c>
      <c r="G4" s="29">
        <v>24.5</v>
      </c>
      <c r="H4" s="29">
        <v>24.5</v>
      </c>
      <c r="I4" s="29">
        <v>24.5</v>
      </c>
      <c r="J4" s="29">
        <v>24.5</v>
      </c>
      <c r="K4" s="29">
        <v>24.5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67.099999999999994</v>
      </c>
      <c r="E5" s="3">
        <v>67.099999999999994</v>
      </c>
      <c r="F5" s="3">
        <v>62.8</v>
      </c>
      <c r="G5" s="3">
        <f>(F5+H5)/2</f>
        <v>66.699999999999989</v>
      </c>
      <c r="H5" s="3">
        <v>70.599999999999994</v>
      </c>
      <c r="I5" s="3">
        <v>81.3</v>
      </c>
      <c r="J5" s="3">
        <v>65.7</v>
      </c>
      <c r="K5" s="3">
        <v>69.5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1643.9499999999998</v>
      </c>
      <c r="E6" s="32">
        <f t="shared" ref="E6:K6" si="0">E5*E4</f>
        <v>1643.9499999999998</v>
      </c>
      <c r="F6" s="32">
        <f t="shared" si="0"/>
        <v>1538.6</v>
      </c>
      <c r="G6" s="32">
        <f t="shared" si="0"/>
        <v>1634.1499999999996</v>
      </c>
      <c r="H6" s="32">
        <f t="shared" si="0"/>
        <v>1729.6999999999998</v>
      </c>
      <c r="I6" s="32">
        <f t="shared" si="0"/>
        <v>1991.85</v>
      </c>
      <c r="J6" s="32">
        <f t="shared" si="0"/>
        <v>1609.65</v>
      </c>
      <c r="K6" s="32">
        <f t="shared" si="0"/>
        <v>1702.75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203</v>
      </c>
      <c r="E7" s="3">
        <v>203</v>
      </c>
      <c r="F7" s="3">
        <v>208</v>
      </c>
      <c r="G7" s="3">
        <v>209</v>
      </c>
      <c r="H7" s="3">
        <v>210</v>
      </c>
      <c r="I7" s="3">
        <v>214</v>
      </c>
      <c r="J7" s="3">
        <v>222</v>
      </c>
      <c r="K7" s="3">
        <v>222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f>57/D4</f>
        <v>2.3265306122448979</v>
      </c>
      <c r="E8" s="65">
        <f t="shared" ref="E8:K8" si="1">57/E4</f>
        <v>2.3265306122448979</v>
      </c>
      <c r="F8" s="65">
        <f t="shared" si="1"/>
        <v>2.3265306122448979</v>
      </c>
      <c r="G8" s="65">
        <f t="shared" si="1"/>
        <v>2.3265306122448979</v>
      </c>
      <c r="H8" s="65">
        <f t="shared" si="1"/>
        <v>2.3265306122448979</v>
      </c>
      <c r="I8" s="65">
        <f t="shared" si="1"/>
        <v>2.3265306122448979</v>
      </c>
      <c r="J8" s="65">
        <f t="shared" si="1"/>
        <v>2.3265306122448979</v>
      </c>
      <c r="K8" s="65">
        <f t="shared" si="1"/>
        <v>2.3265306122448979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57</v>
      </c>
      <c r="E9" s="49">
        <f t="shared" ref="E9:K9" si="2">E8*E4</f>
        <v>57</v>
      </c>
      <c r="F9" s="49">
        <f t="shared" si="2"/>
        <v>57</v>
      </c>
      <c r="G9" s="49">
        <f t="shared" si="2"/>
        <v>57</v>
      </c>
      <c r="H9" s="49">
        <f t="shared" si="2"/>
        <v>57</v>
      </c>
      <c r="I9" s="49">
        <f t="shared" si="2"/>
        <v>57</v>
      </c>
      <c r="J9" s="49">
        <f t="shared" si="2"/>
        <v>57</v>
      </c>
      <c r="K9" s="49">
        <f t="shared" si="2"/>
        <v>57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1.4</v>
      </c>
      <c r="E11" s="109">
        <v>1.4</v>
      </c>
      <c r="F11" s="109">
        <v>1.4</v>
      </c>
      <c r="G11" s="109">
        <v>1.4</v>
      </c>
      <c r="H11" s="109">
        <v>1.4</v>
      </c>
      <c r="I11" s="109">
        <v>1.4</v>
      </c>
      <c r="J11" s="109">
        <v>1.4</v>
      </c>
      <c r="K11" s="109">
        <v>1.4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34.299999999999997</v>
      </c>
      <c r="E12" s="96">
        <f t="shared" ref="E12:K12" si="3">E11*E4</f>
        <v>34.299999999999997</v>
      </c>
      <c r="F12" s="96">
        <f t="shared" si="3"/>
        <v>34.299999999999997</v>
      </c>
      <c r="G12" s="96">
        <f t="shared" si="3"/>
        <v>34.299999999999997</v>
      </c>
      <c r="H12" s="96">
        <f t="shared" si="3"/>
        <v>34.299999999999997</v>
      </c>
      <c r="I12" s="96">
        <f t="shared" si="3"/>
        <v>34.299999999999997</v>
      </c>
      <c r="J12" s="96">
        <f t="shared" si="3"/>
        <v>34.299999999999997</v>
      </c>
      <c r="K12" s="96">
        <f t="shared" si="3"/>
        <v>34.299999999999997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84">
        <f>0.65*10</f>
        <v>6.5</v>
      </c>
      <c r="E14" s="84">
        <f t="shared" ref="E14:K14" si="4">0.65*10</f>
        <v>6.5</v>
      </c>
      <c r="F14" s="84">
        <f t="shared" si="4"/>
        <v>6.5</v>
      </c>
      <c r="G14" s="84">
        <f t="shared" si="4"/>
        <v>6.5</v>
      </c>
      <c r="H14" s="84">
        <f t="shared" si="4"/>
        <v>6.5</v>
      </c>
      <c r="I14" s="84">
        <f t="shared" si="4"/>
        <v>6.5</v>
      </c>
      <c r="J14" s="84">
        <f t="shared" si="4"/>
        <v>6.5</v>
      </c>
      <c r="K14" s="84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159.25</v>
      </c>
      <c r="E15" s="96">
        <f t="shared" ref="E15:K15" si="5">E14*E4</f>
        <v>159.25</v>
      </c>
      <c r="F15" s="96">
        <f t="shared" si="5"/>
        <v>159.25</v>
      </c>
      <c r="G15" s="96">
        <f t="shared" si="5"/>
        <v>159.25</v>
      </c>
      <c r="H15" s="96">
        <f t="shared" si="5"/>
        <v>159.25</v>
      </c>
      <c r="I15" s="96">
        <f t="shared" si="5"/>
        <v>159.25</v>
      </c>
      <c r="J15" s="96">
        <f t="shared" si="5"/>
        <v>159.25</v>
      </c>
      <c r="K15" s="96">
        <f t="shared" si="5"/>
        <v>159.25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499.88599999999997</v>
      </c>
      <c r="E17" s="85">
        <f t="shared" ref="E17:K17" si="6">E10*E9+E13*E12+E16*E15</f>
        <v>492.59949999999998</v>
      </c>
      <c r="F17" s="85">
        <f t="shared" si="6"/>
        <v>495.91250000000002</v>
      </c>
      <c r="G17" s="85">
        <f t="shared" si="6"/>
        <v>493.41500000000002</v>
      </c>
      <c r="H17" s="85">
        <f t="shared" si="6"/>
        <v>475.97200000000004</v>
      </c>
      <c r="I17" s="85">
        <f t="shared" si="6"/>
        <v>464.92100000000005</v>
      </c>
      <c r="J17" s="85">
        <f t="shared" si="6"/>
        <v>483.19800000000004</v>
      </c>
      <c r="K17" s="85">
        <f t="shared" si="6"/>
        <v>683.25600000000009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499.88599999999997</v>
      </c>
      <c r="E18" s="31">
        <f t="shared" ref="E18:K18" si="7">E17</f>
        <v>492.59949999999998</v>
      </c>
      <c r="F18" s="31">
        <f t="shared" si="7"/>
        <v>495.91250000000002</v>
      </c>
      <c r="G18" s="31">
        <f t="shared" si="7"/>
        <v>493.41500000000002</v>
      </c>
      <c r="H18" s="31">
        <f t="shared" si="7"/>
        <v>475.97200000000004</v>
      </c>
      <c r="I18" s="31">
        <f t="shared" si="7"/>
        <v>464.92100000000005</v>
      </c>
      <c r="J18" s="31">
        <f t="shared" si="7"/>
        <v>483.19800000000004</v>
      </c>
      <c r="K18" s="31">
        <f t="shared" si="7"/>
        <v>683.25600000000009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108+15+30+437</f>
        <v>590</v>
      </c>
      <c r="E19" s="37">
        <f>108+15+30+437</f>
        <v>590</v>
      </c>
      <c r="F19" s="34">
        <f>427+30+15+104</f>
        <v>576</v>
      </c>
      <c r="G19" s="34">
        <f>(F19+H19)/2</f>
        <v>586.5</v>
      </c>
      <c r="H19" s="34">
        <f>110+16+30+441</f>
        <v>597</v>
      </c>
      <c r="I19" s="34">
        <f>481+30+19+124</f>
        <v>654</v>
      </c>
      <c r="J19" s="34">
        <f>126+19+30+501</f>
        <v>676</v>
      </c>
      <c r="K19" s="34">
        <f>494+30+19.3+130</f>
        <v>673.3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1292.886</v>
      </c>
      <c r="E20" s="38">
        <f t="shared" ref="D20:K20" si="8">E19+E7+E18</f>
        <v>1285.5995</v>
      </c>
      <c r="F20" s="38">
        <f t="shared" si="8"/>
        <v>1279.9124999999999</v>
      </c>
      <c r="G20" s="38">
        <f t="shared" si="8"/>
        <v>1288.915</v>
      </c>
      <c r="H20" s="38">
        <f t="shared" si="8"/>
        <v>1282.972</v>
      </c>
      <c r="I20" s="38">
        <f t="shared" si="8"/>
        <v>1332.921</v>
      </c>
      <c r="J20" s="38">
        <f t="shared" si="8"/>
        <v>1381.1980000000001</v>
      </c>
      <c r="K20" s="38">
        <f t="shared" si="8"/>
        <v>1578.556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351.06399999999985</v>
      </c>
      <c r="E21" s="55">
        <f t="shared" ref="D21:K21" si="9">E6-E20</f>
        <v>358.35049999999978</v>
      </c>
      <c r="F21" s="55">
        <f t="shared" si="9"/>
        <v>258.6875</v>
      </c>
      <c r="G21" s="55">
        <f t="shared" si="9"/>
        <v>345.23499999999967</v>
      </c>
      <c r="H21" s="55">
        <f t="shared" si="9"/>
        <v>446.72799999999984</v>
      </c>
      <c r="I21" s="55">
        <f t="shared" si="9"/>
        <v>658.92899999999986</v>
      </c>
      <c r="J21" s="55">
        <f t="shared" si="9"/>
        <v>228.452</v>
      </c>
      <c r="K21" s="55">
        <f t="shared" si="9"/>
        <v>124.19399999999996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24E-EDAA-4D4C-89AC-1C6CBEDDCB88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45.57</v>
      </c>
      <c r="E4" s="29">
        <v>56.93</v>
      </c>
      <c r="F4" s="29">
        <v>46.13</v>
      </c>
      <c r="G4" s="29">
        <v>56.34</v>
      </c>
      <c r="H4" s="29">
        <v>51.91</v>
      </c>
      <c r="I4" s="29">
        <v>55.22</v>
      </c>
      <c r="J4" s="29">
        <v>54.2</v>
      </c>
      <c r="K4" s="29">
        <v>54.3</v>
      </c>
    </row>
    <row r="5" spans="1:11" ht="15.75" thickBot="1" x14ac:dyDescent="0.3">
      <c r="A5" s="5" t="s">
        <v>175</v>
      </c>
      <c r="B5" s="40" t="s">
        <v>1</v>
      </c>
      <c r="C5" s="5" t="s">
        <v>178</v>
      </c>
      <c r="D5" s="60">
        <v>95.45</v>
      </c>
      <c r="E5" s="61">
        <v>95.9</v>
      </c>
      <c r="F5" s="60">
        <v>94.02</v>
      </c>
      <c r="G5" s="60">
        <v>95.78</v>
      </c>
      <c r="H5" s="60">
        <v>102.85</v>
      </c>
      <c r="I5" s="61">
        <v>90.66</v>
      </c>
      <c r="J5" s="60">
        <v>96.59</v>
      </c>
      <c r="K5" s="60">
        <v>136.72999999999999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4349.6565000000001</v>
      </c>
      <c r="E6" s="32">
        <f t="shared" ref="E6:K6" si="0">E5*E4</f>
        <v>5459.5870000000004</v>
      </c>
      <c r="F6" s="32">
        <f t="shared" si="0"/>
        <v>4337.1426000000001</v>
      </c>
      <c r="G6" s="32">
        <f t="shared" si="0"/>
        <v>5396.2452000000003</v>
      </c>
      <c r="H6" s="32">
        <f t="shared" si="0"/>
        <v>5338.9434999999994</v>
      </c>
      <c r="I6" s="32">
        <f t="shared" si="0"/>
        <v>5006.2451999999994</v>
      </c>
      <c r="J6" s="32">
        <f t="shared" si="0"/>
        <v>5235.1780000000008</v>
      </c>
      <c r="K6" s="32">
        <f t="shared" si="0"/>
        <v>7424.4389999999994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181.1</v>
      </c>
      <c r="E7" s="3">
        <v>187.25</v>
      </c>
      <c r="F7" s="3">
        <v>188.15</v>
      </c>
      <c r="G7" s="3">
        <v>188.15</v>
      </c>
      <c r="H7" s="3">
        <v>188.15</v>
      </c>
      <c r="I7" s="48">
        <f>200.69</f>
        <v>200.69</v>
      </c>
      <c r="J7" s="3">
        <v>200.69</v>
      </c>
      <c r="K7" s="3">
        <v>300.08999999999997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1.8</v>
      </c>
      <c r="E8" s="35">
        <v>1.8</v>
      </c>
      <c r="F8" s="35">
        <v>1.8</v>
      </c>
      <c r="G8" s="35">
        <v>1.8</v>
      </c>
      <c r="H8" s="35">
        <v>1.8</v>
      </c>
      <c r="I8" s="35">
        <v>1.8</v>
      </c>
      <c r="J8" s="35">
        <v>1.8</v>
      </c>
      <c r="K8" s="35">
        <v>1.8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82.025999999999996</v>
      </c>
      <c r="E9" s="49">
        <f t="shared" ref="E9:K9" si="1">E8*E4</f>
        <v>102.474</v>
      </c>
      <c r="F9" s="49">
        <f t="shared" si="1"/>
        <v>83.034000000000006</v>
      </c>
      <c r="G9" s="49">
        <f t="shared" si="1"/>
        <v>101.41200000000001</v>
      </c>
      <c r="H9" s="49">
        <f t="shared" si="1"/>
        <v>93.438000000000002</v>
      </c>
      <c r="I9" s="49">
        <f t="shared" si="1"/>
        <v>99.396000000000001</v>
      </c>
      <c r="J9" s="49">
        <f t="shared" si="1"/>
        <v>97.56</v>
      </c>
      <c r="K9" s="49">
        <f t="shared" si="1"/>
        <v>97.74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45.57</v>
      </c>
      <c r="E12" s="96">
        <f t="shared" ref="E12:K12" si="2">E11*E4</f>
        <v>56.93</v>
      </c>
      <c r="F12" s="96">
        <f t="shared" si="2"/>
        <v>46.13</v>
      </c>
      <c r="G12" s="96">
        <f t="shared" si="2"/>
        <v>56.34</v>
      </c>
      <c r="H12" s="96">
        <f t="shared" si="2"/>
        <v>51.91</v>
      </c>
      <c r="I12" s="96">
        <f t="shared" si="2"/>
        <v>55.22</v>
      </c>
      <c r="J12" s="96">
        <f t="shared" si="2"/>
        <v>54.2</v>
      </c>
      <c r="K12" s="96">
        <f t="shared" si="2"/>
        <v>54.3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2.5</v>
      </c>
      <c r="E14" s="101">
        <v>2.5</v>
      </c>
      <c r="F14" s="101">
        <v>2.5</v>
      </c>
      <c r="G14" s="101">
        <v>2.5</v>
      </c>
      <c r="H14" s="101">
        <v>2.5</v>
      </c>
      <c r="I14" s="101">
        <v>2.5</v>
      </c>
      <c r="J14" s="101">
        <v>2.5</v>
      </c>
      <c r="K14" s="101">
        <v>2.5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113.925</v>
      </c>
      <c r="E15" s="96">
        <f t="shared" ref="E15:K15" si="3">E14*E4</f>
        <v>142.32499999999999</v>
      </c>
      <c r="F15" s="96">
        <f t="shared" si="3"/>
        <v>115.325</v>
      </c>
      <c r="G15" s="96">
        <f t="shared" si="3"/>
        <v>140.85000000000002</v>
      </c>
      <c r="H15" s="96">
        <f t="shared" si="3"/>
        <v>129.77499999999998</v>
      </c>
      <c r="I15" s="96">
        <f t="shared" si="3"/>
        <v>138.05000000000001</v>
      </c>
      <c r="J15" s="96">
        <f t="shared" si="3"/>
        <v>135.5</v>
      </c>
      <c r="K15" s="96">
        <f t="shared" si="3"/>
        <v>135.75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515.76125999999999</v>
      </c>
      <c r="E17" s="85">
        <f t="shared" ref="E17:K17" si="4">E10*E9+E13*E12+E16*E15</f>
        <v>638.81152999999995</v>
      </c>
      <c r="F17" s="85">
        <f t="shared" si="4"/>
        <v>529.98757000000001</v>
      </c>
      <c r="G17" s="85">
        <f t="shared" si="4"/>
        <v>647.12124000000006</v>
      </c>
      <c r="H17" s="85">
        <f t="shared" si="4"/>
        <v>567.68776000000003</v>
      </c>
      <c r="I17" s="85">
        <f t="shared" si="4"/>
        <v>590.52268000000004</v>
      </c>
      <c r="J17" s="85">
        <f t="shared" si="4"/>
        <v>606.17280000000005</v>
      </c>
      <c r="K17" s="85">
        <f t="shared" si="4"/>
        <v>814.17419999999993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515.76125999999999</v>
      </c>
      <c r="E18" s="31">
        <f t="shared" ref="E18:K18" si="5">E17</f>
        <v>638.81152999999995</v>
      </c>
      <c r="F18" s="31">
        <f t="shared" si="5"/>
        <v>529.98757000000001</v>
      </c>
      <c r="G18" s="31">
        <f t="shared" si="5"/>
        <v>647.12124000000006</v>
      </c>
      <c r="H18" s="31">
        <f t="shared" si="5"/>
        <v>567.68776000000003</v>
      </c>
      <c r="I18" s="31">
        <f t="shared" si="5"/>
        <v>590.52268000000004</v>
      </c>
      <c r="J18" s="31">
        <f t="shared" si="5"/>
        <v>606.17280000000005</v>
      </c>
      <c r="K18" s="31">
        <f t="shared" si="5"/>
        <v>814.17419999999993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834+980+24</f>
        <v>1838</v>
      </c>
      <c r="E19" s="34">
        <f>876+1000+25</f>
        <v>1901</v>
      </c>
      <c r="F19" s="34">
        <f>873+1020+27</f>
        <v>1920</v>
      </c>
      <c r="G19" s="34">
        <f>917+1020+27</f>
        <v>1964</v>
      </c>
      <c r="H19" s="34">
        <f>904+1040+24</f>
        <v>1968</v>
      </c>
      <c r="I19" s="34">
        <f>898+1070+22</f>
        <v>1990</v>
      </c>
      <c r="J19" s="34">
        <f>966+1100+22</f>
        <v>2088</v>
      </c>
      <c r="K19" s="34">
        <f>1147+1120+22</f>
        <v>2289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2534.8612599999997</v>
      </c>
      <c r="E20" s="38">
        <f t="shared" si="6"/>
        <v>2727.0615299999999</v>
      </c>
      <c r="F20" s="38">
        <f t="shared" si="6"/>
        <v>2638.1375699999999</v>
      </c>
      <c r="G20" s="38">
        <f t="shared" si="6"/>
        <v>2799.27124</v>
      </c>
      <c r="H20" s="38">
        <f t="shared" si="6"/>
        <v>2723.8377600000003</v>
      </c>
      <c r="I20" s="38">
        <f t="shared" si="6"/>
        <v>2781.2126800000001</v>
      </c>
      <c r="J20" s="38">
        <f t="shared" si="6"/>
        <v>2894.8627999999999</v>
      </c>
      <c r="K20" s="38">
        <f t="shared" si="6"/>
        <v>3403.2642000000001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1814.7952400000004</v>
      </c>
      <c r="E21" s="6">
        <f t="shared" si="7"/>
        <v>2732.5254700000005</v>
      </c>
      <c r="F21" s="6">
        <f t="shared" si="7"/>
        <v>1699.0050300000003</v>
      </c>
      <c r="G21" s="6">
        <f t="shared" si="7"/>
        <v>2596.9739600000003</v>
      </c>
      <c r="H21" s="6">
        <f t="shared" si="7"/>
        <v>2615.1057399999991</v>
      </c>
      <c r="I21" s="6">
        <f t="shared" si="7"/>
        <v>2225.0325199999993</v>
      </c>
      <c r="J21" s="6">
        <f t="shared" si="7"/>
        <v>2340.3152000000009</v>
      </c>
      <c r="K21" s="6">
        <f t="shared" si="7"/>
        <v>4021.1747999999993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/>
      <c r="E26" s="39"/>
      <c r="F26" s="39"/>
      <c r="G26" s="39"/>
      <c r="H26" s="39"/>
      <c r="I26" s="39"/>
      <c r="J26" s="39"/>
      <c r="K26" s="3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/>
      <c r="E29" s="39"/>
      <c r="F29" s="39"/>
      <c r="G29" s="39"/>
      <c r="H29" s="39"/>
      <c r="I29" s="39"/>
      <c r="J29" s="39"/>
      <c r="K29" s="3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60.32</v>
      </c>
      <c r="E31" s="39">
        <v>61.76</v>
      </c>
      <c r="F31" s="39">
        <v>47.66</v>
      </c>
      <c r="G31" s="39">
        <v>55.67</v>
      </c>
      <c r="H31" s="39">
        <v>51.39</v>
      </c>
      <c r="I31" s="39">
        <v>48.89</v>
      </c>
      <c r="J31" s="39">
        <v>54.79</v>
      </c>
      <c r="K31" s="39">
        <v>53.69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B1-53EC-442D-A870-7BF96B29E312}">
  <dimension ref="A3:K33"/>
  <sheetViews>
    <sheetView workbookViewId="0">
      <selection activeCell="A13" sqref="A13:XFD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14.7</v>
      </c>
      <c r="E4" s="29">
        <v>12.6</v>
      </c>
      <c r="F4" s="29">
        <v>14</v>
      </c>
      <c r="G4" s="29">
        <v>13.3</v>
      </c>
      <c r="H4" s="29">
        <v>14</v>
      </c>
      <c r="I4" s="29">
        <v>12.6</v>
      </c>
      <c r="J4" s="29">
        <v>13.3</v>
      </c>
      <c r="K4" s="29">
        <v>14.73</v>
      </c>
    </row>
    <row r="5" spans="1:11" x14ac:dyDescent="0.25">
      <c r="A5" s="5" t="s">
        <v>263</v>
      </c>
      <c r="B5" s="5"/>
      <c r="C5" s="5" t="s">
        <v>264</v>
      </c>
      <c r="D5" s="63">
        <v>0.23</v>
      </c>
      <c r="E5" s="63">
        <v>0.23</v>
      </c>
      <c r="F5" s="63">
        <v>0.23</v>
      </c>
      <c r="G5" s="63">
        <v>0.31</v>
      </c>
      <c r="H5" s="63">
        <v>0.23</v>
      </c>
      <c r="I5" s="63">
        <v>0.23</v>
      </c>
      <c r="J5" s="63">
        <v>0.23</v>
      </c>
      <c r="K5" s="63">
        <v>0.26</v>
      </c>
    </row>
    <row r="6" spans="1:11" x14ac:dyDescent="0.25">
      <c r="A6" s="5" t="s">
        <v>265</v>
      </c>
      <c r="B6" s="5"/>
      <c r="C6" s="5" t="s">
        <v>178</v>
      </c>
      <c r="D6" s="3">
        <v>16.95</v>
      </c>
      <c r="E6" s="3">
        <v>16.95</v>
      </c>
      <c r="F6" s="3">
        <v>16.95</v>
      </c>
      <c r="G6" s="3">
        <v>16.95</v>
      </c>
      <c r="H6" s="3">
        <v>16.95</v>
      </c>
      <c r="I6" s="3">
        <v>16.95</v>
      </c>
      <c r="J6" s="3">
        <v>16.95</v>
      </c>
      <c r="K6" s="3">
        <v>16.95</v>
      </c>
    </row>
    <row r="7" spans="1:11" x14ac:dyDescent="0.25">
      <c r="A7" s="5" t="s">
        <v>175</v>
      </c>
      <c r="B7" s="40" t="s">
        <v>1</v>
      </c>
      <c r="C7" s="5" t="s">
        <v>178</v>
      </c>
      <c r="D7" s="3">
        <v>587.6</v>
      </c>
      <c r="E7" s="3">
        <v>536.75</v>
      </c>
      <c r="F7" s="3">
        <v>508.5</v>
      </c>
      <c r="G7" s="3">
        <v>491.55</v>
      </c>
      <c r="H7" s="3">
        <v>508.5</v>
      </c>
      <c r="I7" s="3">
        <v>452</v>
      </c>
      <c r="J7" s="3">
        <v>565</v>
      </c>
      <c r="K7" s="3">
        <v>621.5</v>
      </c>
    </row>
    <row r="8" spans="1:11" x14ac:dyDescent="0.25">
      <c r="A8" s="5" t="s">
        <v>176</v>
      </c>
      <c r="B8" s="40" t="s">
        <v>1</v>
      </c>
      <c r="C8" s="5" t="s">
        <v>177</v>
      </c>
      <c r="D8" s="32">
        <f>D7*D4*(1-D5)+D4*D5*D6</f>
        <v>6708.3523500000001</v>
      </c>
      <c r="E8" s="32">
        <f>E7*E4*(1-E5)+E4*E5*E6</f>
        <v>5256.6696000000002</v>
      </c>
      <c r="F8" s="32">
        <f t="shared" ref="F8:K8" si="0">F7*F4*(1-F5)+F4*F5*F6</f>
        <v>5536.2089999999998</v>
      </c>
      <c r="G8" s="32">
        <f t="shared" si="0"/>
        <v>4580.8392000000003</v>
      </c>
      <c r="H8" s="32">
        <f t="shared" si="0"/>
        <v>5536.2089999999998</v>
      </c>
      <c r="I8" s="32">
        <f t="shared" si="0"/>
        <v>4434.4251000000004</v>
      </c>
      <c r="J8" s="32">
        <f t="shared" si="0"/>
        <v>5838.01505</v>
      </c>
      <c r="K8" s="32">
        <f t="shared" si="0"/>
        <v>6839.3894099999998</v>
      </c>
    </row>
    <row r="9" spans="1:11" x14ac:dyDescent="0.25">
      <c r="A9" s="5" t="s">
        <v>0</v>
      </c>
      <c r="B9" s="5" t="s">
        <v>4</v>
      </c>
      <c r="C9" s="5" t="s">
        <v>3</v>
      </c>
      <c r="D9" s="62">
        <v>1452</v>
      </c>
      <c r="E9" s="62">
        <v>1636.8</v>
      </c>
      <c r="F9" s="62">
        <v>1636.8</v>
      </c>
      <c r="G9" s="62">
        <v>1716</v>
      </c>
      <c r="H9" s="62">
        <v>1821.6</v>
      </c>
      <c r="I9" s="62">
        <v>1848</v>
      </c>
      <c r="J9" s="62">
        <v>1795.2</v>
      </c>
      <c r="K9" s="62">
        <v>1900.8</v>
      </c>
    </row>
    <row r="10" spans="1:11" x14ac:dyDescent="0.25">
      <c r="A10" s="5" t="s">
        <v>172</v>
      </c>
      <c r="B10" s="40" t="s">
        <v>1</v>
      </c>
      <c r="C10" s="5" t="s">
        <v>247</v>
      </c>
      <c r="D10" s="35">
        <v>3.5</v>
      </c>
      <c r="E10" s="35">
        <v>3.5</v>
      </c>
      <c r="F10" s="35">
        <v>3.5</v>
      </c>
      <c r="G10" s="35">
        <v>3.5</v>
      </c>
      <c r="H10" s="35">
        <v>3.5</v>
      </c>
      <c r="I10" s="35">
        <v>3.5</v>
      </c>
      <c r="J10" s="35">
        <v>3.5</v>
      </c>
      <c r="K10" s="35">
        <v>3.5</v>
      </c>
    </row>
    <row r="11" spans="1:11" x14ac:dyDescent="0.25">
      <c r="A11" s="5" t="s">
        <v>248</v>
      </c>
      <c r="B11" s="40" t="s">
        <v>1</v>
      </c>
      <c r="C11" s="5" t="s">
        <v>155</v>
      </c>
      <c r="D11" s="49">
        <f>D10*D4</f>
        <v>51.449999999999996</v>
      </c>
      <c r="E11" s="49">
        <f t="shared" ref="E11:K11" si="1">E10*E4</f>
        <v>44.1</v>
      </c>
      <c r="F11" s="49">
        <f t="shared" si="1"/>
        <v>49</v>
      </c>
      <c r="G11" s="49">
        <f t="shared" si="1"/>
        <v>46.550000000000004</v>
      </c>
      <c r="H11" s="49">
        <f t="shared" si="1"/>
        <v>49</v>
      </c>
      <c r="I11" s="49">
        <f t="shared" si="1"/>
        <v>44.1</v>
      </c>
      <c r="J11" s="49">
        <f t="shared" si="1"/>
        <v>46.550000000000004</v>
      </c>
      <c r="K11" s="49">
        <f t="shared" si="1"/>
        <v>51.555</v>
      </c>
    </row>
    <row r="12" spans="1:11" x14ac:dyDescent="0.25">
      <c r="A12" s="5" t="s">
        <v>173</v>
      </c>
      <c r="B12" s="40" t="s">
        <v>1</v>
      </c>
      <c r="C12" s="5" t="s">
        <v>174</v>
      </c>
      <c r="D12" s="47">
        <v>3.11</v>
      </c>
      <c r="E12" s="47">
        <v>3.17</v>
      </c>
      <c r="F12" s="47">
        <v>3.48</v>
      </c>
      <c r="G12" s="47">
        <v>3.52</v>
      </c>
      <c r="H12" s="47">
        <v>3.22</v>
      </c>
      <c r="I12" s="47">
        <v>3.18</v>
      </c>
      <c r="J12" s="47">
        <v>3.18</v>
      </c>
      <c r="K12" s="47">
        <v>3.43</v>
      </c>
    </row>
    <row r="13" spans="1:11" x14ac:dyDescent="0.25">
      <c r="A13" s="5" t="s">
        <v>307</v>
      </c>
      <c r="B13" s="40" t="s">
        <v>1</v>
      </c>
      <c r="C13" s="5" t="s">
        <v>309</v>
      </c>
      <c r="D13" s="98">
        <v>1.4</v>
      </c>
      <c r="E13" s="98">
        <v>1.4</v>
      </c>
      <c r="F13" s="98">
        <v>1.4</v>
      </c>
      <c r="G13" s="98">
        <v>1.4</v>
      </c>
      <c r="H13" s="98">
        <v>1.4</v>
      </c>
      <c r="I13" s="98">
        <v>1.4</v>
      </c>
      <c r="J13" s="98">
        <v>1.4</v>
      </c>
      <c r="K13" s="98">
        <v>1.4</v>
      </c>
    </row>
    <row r="14" spans="1:11" x14ac:dyDescent="0.25">
      <c r="A14" s="5" t="s">
        <v>307</v>
      </c>
      <c r="B14" s="40" t="s">
        <v>1</v>
      </c>
      <c r="C14" s="5" t="s">
        <v>310</v>
      </c>
      <c r="D14" s="96">
        <f>D13*D6</f>
        <v>23.729999999999997</v>
      </c>
      <c r="E14" s="96">
        <f t="shared" ref="E14:K14" si="2">E13*E6</f>
        <v>23.729999999999997</v>
      </c>
      <c r="F14" s="96">
        <f t="shared" si="2"/>
        <v>23.729999999999997</v>
      </c>
      <c r="G14" s="96">
        <f t="shared" si="2"/>
        <v>23.729999999999997</v>
      </c>
      <c r="H14" s="96">
        <f t="shared" si="2"/>
        <v>23.729999999999997</v>
      </c>
      <c r="I14" s="96">
        <f t="shared" si="2"/>
        <v>23.729999999999997</v>
      </c>
      <c r="J14" s="96">
        <f t="shared" si="2"/>
        <v>23.729999999999997</v>
      </c>
      <c r="K14" s="96">
        <f t="shared" si="2"/>
        <v>23.729999999999997</v>
      </c>
    </row>
    <row r="15" spans="1:11" x14ac:dyDescent="0.25">
      <c r="A15" s="5" t="s">
        <v>307</v>
      </c>
      <c r="B15" s="40" t="s">
        <v>1</v>
      </c>
      <c r="C15" s="5" t="s">
        <v>311</v>
      </c>
      <c r="D15" s="97">
        <v>1.42</v>
      </c>
      <c r="E15" s="97">
        <v>1.34</v>
      </c>
      <c r="F15" s="97">
        <v>1.2</v>
      </c>
      <c r="G15" s="97">
        <v>1.2</v>
      </c>
      <c r="H15" s="97">
        <v>1.19</v>
      </c>
      <c r="I15" s="97">
        <v>1.1200000000000001</v>
      </c>
      <c r="J15" s="97">
        <v>1.56</v>
      </c>
      <c r="K15" s="97">
        <v>2.52</v>
      </c>
    </row>
    <row r="16" spans="1:11" x14ac:dyDescent="0.25">
      <c r="A16" s="5" t="s">
        <v>308</v>
      </c>
      <c r="B16" s="40" t="s">
        <v>1</v>
      </c>
      <c r="C16" s="5" t="s">
        <v>312</v>
      </c>
      <c r="D16" s="101">
        <v>6</v>
      </c>
      <c r="E16" s="101">
        <v>6</v>
      </c>
      <c r="F16" s="101">
        <v>6</v>
      </c>
      <c r="G16" s="101">
        <v>6</v>
      </c>
      <c r="H16" s="101">
        <v>6</v>
      </c>
      <c r="I16" s="101">
        <v>6</v>
      </c>
      <c r="J16" s="101">
        <v>6</v>
      </c>
      <c r="K16" s="101">
        <v>6</v>
      </c>
    </row>
    <row r="17" spans="1:11" x14ac:dyDescent="0.25">
      <c r="A17" s="5" t="s">
        <v>308</v>
      </c>
      <c r="B17" s="40" t="s">
        <v>1</v>
      </c>
      <c r="C17" s="5" t="s">
        <v>313</v>
      </c>
      <c r="D17" s="96">
        <f>D16*D6</f>
        <v>101.69999999999999</v>
      </c>
      <c r="E17" s="96">
        <f t="shared" ref="E17:K17" si="3">E16*E6</f>
        <v>101.69999999999999</v>
      </c>
      <c r="F17" s="96">
        <f t="shared" si="3"/>
        <v>101.69999999999999</v>
      </c>
      <c r="G17" s="96">
        <f t="shared" si="3"/>
        <v>101.69999999999999</v>
      </c>
      <c r="H17" s="96">
        <f t="shared" si="3"/>
        <v>101.69999999999999</v>
      </c>
      <c r="I17" s="96">
        <f t="shared" si="3"/>
        <v>101.69999999999999</v>
      </c>
      <c r="J17" s="96">
        <f t="shared" si="3"/>
        <v>101.69999999999999</v>
      </c>
      <c r="K17" s="96">
        <f t="shared" si="3"/>
        <v>101.69999999999999</v>
      </c>
    </row>
    <row r="18" spans="1:11" x14ac:dyDescent="0.25">
      <c r="A18" s="5" t="s">
        <v>308</v>
      </c>
      <c r="B18" s="40" t="s">
        <v>1</v>
      </c>
      <c r="C18" s="5" t="s">
        <v>314</v>
      </c>
      <c r="D18" s="97">
        <v>1.72</v>
      </c>
      <c r="E18" s="97">
        <v>1.67</v>
      </c>
      <c r="F18" s="97">
        <v>1.61</v>
      </c>
      <c r="G18" s="97">
        <v>1.58</v>
      </c>
      <c r="H18" s="97">
        <v>1.58</v>
      </c>
      <c r="I18" s="97">
        <v>1.54</v>
      </c>
      <c r="J18" s="97">
        <v>1.56</v>
      </c>
      <c r="K18" s="97">
        <v>2.52</v>
      </c>
    </row>
    <row r="19" spans="1:11" x14ac:dyDescent="0.25">
      <c r="A19" s="5" t="s">
        <v>173</v>
      </c>
      <c r="B19" s="40" t="s">
        <v>1</v>
      </c>
      <c r="C19" s="5" t="s">
        <v>177</v>
      </c>
      <c r="D19" s="85">
        <f>D12*D11+D15*D14+D18*D17</f>
        <v>368.63009999999997</v>
      </c>
      <c r="E19" s="85">
        <f t="shared" ref="E19:K19" si="4">E12*E11+E15*E14+E18*E17</f>
        <v>341.43419999999998</v>
      </c>
      <c r="F19" s="85">
        <f t="shared" si="4"/>
        <v>362.733</v>
      </c>
      <c r="G19" s="85">
        <f t="shared" si="4"/>
        <v>353.01800000000003</v>
      </c>
      <c r="H19" s="85">
        <f t="shared" si="4"/>
        <v>346.7047</v>
      </c>
      <c r="I19" s="85">
        <f t="shared" si="4"/>
        <v>323.43359999999996</v>
      </c>
      <c r="J19" s="85">
        <f t="shared" si="4"/>
        <v>343.69979999999998</v>
      </c>
      <c r="K19" s="85">
        <f t="shared" si="4"/>
        <v>492.91724999999997</v>
      </c>
    </row>
    <row r="20" spans="1:11" x14ac:dyDescent="0.25">
      <c r="A20" s="5" t="s">
        <v>173</v>
      </c>
      <c r="B20" s="40" t="s">
        <v>1</v>
      </c>
      <c r="C20" s="5" t="s">
        <v>177</v>
      </c>
      <c r="D20" s="31">
        <f>D19</f>
        <v>368.63009999999997</v>
      </c>
      <c r="E20" s="31">
        <f t="shared" ref="E20:K20" si="5">E19</f>
        <v>341.43419999999998</v>
      </c>
      <c r="F20" s="31">
        <f t="shared" si="5"/>
        <v>362.733</v>
      </c>
      <c r="G20" s="31">
        <f t="shared" si="5"/>
        <v>353.01800000000003</v>
      </c>
      <c r="H20" s="31">
        <f t="shared" si="5"/>
        <v>346.7047</v>
      </c>
      <c r="I20" s="31">
        <f t="shared" si="5"/>
        <v>323.43359999999996</v>
      </c>
      <c r="J20" s="31">
        <f t="shared" si="5"/>
        <v>343.69979999999998</v>
      </c>
      <c r="K20" s="31">
        <f t="shared" si="5"/>
        <v>492.91724999999997</v>
      </c>
    </row>
    <row r="21" spans="1:11" ht="45" x14ac:dyDescent="0.25">
      <c r="A21" s="5" t="s">
        <v>0</v>
      </c>
      <c r="B21" s="5" t="s">
        <v>4</v>
      </c>
      <c r="C21" s="7" t="s">
        <v>5</v>
      </c>
      <c r="D21" s="37">
        <f>987+144+117+24</f>
        <v>1272</v>
      </c>
      <c r="E21" s="34">
        <f>957+124+120+26</f>
        <v>1227</v>
      </c>
      <c r="F21" s="34">
        <f>981+137+122+28</f>
        <v>1268</v>
      </c>
      <c r="G21" s="34">
        <f>1044+130+122+28</f>
        <v>1324</v>
      </c>
      <c r="H21" s="34">
        <f>1053+138+125+23</f>
        <v>1339</v>
      </c>
      <c r="I21" s="34">
        <f>1019+124+128+22</f>
        <v>1293</v>
      </c>
      <c r="J21" s="34">
        <f>1105+130+132+22</f>
        <v>1389</v>
      </c>
      <c r="K21" s="34">
        <f>1285+144+134+22</f>
        <v>1585</v>
      </c>
    </row>
    <row r="22" spans="1:11" x14ac:dyDescent="0.25">
      <c r="A22" s="25" t="s">
        <v>0</v>
      </c>
      <c r="B22" t="s">
        <v>179</v>
      </c>
      <c r="C22" s="25" t="s">
        <v>177</v>
      </c>
      <c r="D22" s="38">
        <f t="shared" ref="D22:K22" si="6">D21+D9+D20</f>
        <v>3092.6300999999999</v>
      </c>
      <c r="E22" s="38">
        <f t="shared" si="6"/>
        <v>3205.2342000000003</v>
      </c>
      <c r="F22" s="38">
        <f t="shared" si="6"/>
        <v>3267.5330000000004</v>
      </c>
      <c r="G22" s="38">
        <f t="shared" si="6"/>
        <v>3393.018</v>
      </c>
      <c r="H22" s="38">
        <f t="shared" si="6"/>
        <v>3507.3046999999997</v>
      </c>
      <c r="I22" s="38">
        <f t="shared" si="6"/>
        <v>3464.4335999999998</v>
      </c>
      <c r="J22" s="38">
        <f t="shared" si="6"/>
        <v>3527.8997999999997</v>
      </c>
      <c r="K22" s="38">
        <f t="shared" si="6"/>
        <v>3978.7172500000001</v>
      </c>
    </row>
    <row r="23" spans="1:11" x14ac:dyDescent="0.25">
      <c r="A23" s="5" t="s">
        <v>6</v>
      </c>
      <c r="B23" s="5"/>
      <c r="C23" s="25" t="s">
        <v>177</v>
      </c>
      <c r="D23" s="6">
        <f t="shared" ref="D23:K23" si="7">D8-D22</f>
        <v>3615.7222500000003</v>
      </c>
      <c r="E23" s="6">
        <f t="shared" si="7"/>
        <v>2051.4353999999998</v>
      </c>
      <c r="F23" s="6">
        <f t="shared" si="7"/>
        <v>2268.6759999999995</v>
      </c>
      <c r="G23" s="6">
        <f t="shared" si="7"/>
        <v>1187.8212000000003</v>
      </c>
      <c r="H23" s="6">
        <f t="shared" si="7"/>
        <v>2028.9043000000001</v>
      </c>
      <c r="I23" s="6">
        <f t="shared" si="7"/>
        <v>969.99150000000054</v>
      </c>
      <c r="J23" s="6">
        <f t="shared" si="7"/>
        <v>2310.1152500000003</v>
      </c>
      <c r="K23" s="6">
        <f t="shared" si="7"/>
        <v>2860.6721599999996</v>
      </c>
    </row>
    <row r="25" spans="1:11" ht="15.75" thickBot="1" x14ac:dyDescent="0.3">
      <c r="B25" s="2" t="s">
        <v>180</v>
      </c>
    </row>
    <row r="26" spans="1:11" ht="15.75" thickBot="1" x14ac:dyDescent="0.3">
      <c r="A26" s="5" t="s">
        <v>2</v>
      </c>
      <c r="B26" s="5" t="s">
        <v>181</v>
      </c>
      <c r="C26" s="5" t="s">
        <v>171</v>
      </c>
      <c r="D26" s="53"/>
      <c r="E26" s="53"/>
      <c r="F26" s="53"/>
      <c r="G26" s="53"/>
      <c r="H26" s="53"/>
      <c r="I26" s="53"/>
      <c r="J26" s="53"/>
      <c r="K26" s="53"/>
    </row>
    <row r="27" spans="1:11" ht="15.75" thickBot="1" x14ac:dyDescent="0.3">
      <c r="A27" s="5" t="s">
        <v>2</v>
      </c>
      <c r="B27" t="s">
        <v>182</v>
      </c>
      <c r="C27" s="5" t="s">
        <v>171</v>
      </c>
      <c r="D27" s="53"/>
      <c r="E27" s="53"/>
      <c r="F27" s="53"/>
      <c r="G27" s="53"/>
      <c r="H27" s="53"/>
      <c r="I27" s="53"/>
      <c r="J27" s="53"/>
      <c r="K27" s="53"/>
    </row>
    <row r="28" spans="1:11" ht="15.75" thickBot="1" x14ac:dyDescent="0.3">
      <c r="A28" s="5" t="s">
        <v>2</v>
      </c>
      <c r="B28" t="s">
        <v>183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184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185</v>
      </c>
      <c r="C30" s="5" t="s">
        <v>171</v>
      </c>
      <c r="D30" s="39"/>
      <c r="E30" s="39"/>
      <c r="F30" s="39"/>
      <c r="G30" s="39"/>
      <c r="H30" s="39"/>
      <c r="I30" s="39"/>
      <c r="J30" s="39"/>
      <c r="K30" s="39"/>
    </row>
    <row r="31" spans="1:11" ht="15.75" thickBot="1" x14ac:dyDescent="0.3">
      <c r="A31" s="5" t="s">
        <v>2</v>
      </c>
      <c r="B31" t="s">
        <v>186</v>
      </c>
      <c r="C31" s="5" t="s">
        <v>171</v>
      </c>
      <c r="D31" s="39"/>
      <c r="E31" s="39"/>
      <c r="F31" s="39"/>
      <c r="G31" s="39"/>
      <c r="H31" s="39"/>
      <c r="I31" s="39"/>
      <c r="J31" s="39"/>
      <c r="K31" s="39"/>
    </row>
    <row r="32" spans="1:11" ht="15.75" thickBot="1" x14ac:dyDescent="0.3">
      <c r="A32" s="5" t="s">
        <v>2</v>
      </c>
      <c r="B32" t="s">
        <v>188</v>
      </c>
      <c r="C32" s="5" t="s">
        <v>171</v>
      </c>
      <c r="D32" s="29"/>
      <c r="E32" s="29"/>
      <c r="F32" s="29"/>
      <c r="G32" s="29"/>
      <c r="H32" s="29"/>
      <c r="I32" s="29"/>
      <c r="J32" s="29"/>
      <c r="K32" s="29"/>
    </row>
    <row r="33" spans="1:11" ht="15.75" thickBot="1" x14ac:dyDescent="0.3">
      <c r="A33" s="5" t="s">
        <v>2</v>
      </c>
      <c r="B33" t="s">
        <v>187</v>
      </c>
      <c r="C33" s="5" t="s">
        <v>171</v>
      </c>
      <c r="D33" s="39"/>
      <c r="E33" s="39"/>
      <c r="F33" s="39"/>
      <c r="G33" s="39"/>
      <c r="H33" s="39"/>
      <c r="I33" s="39"/>
      <c r="J33" s="39"/>
      <c r="K33" s="3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8DD-914F-4A67-835D-80E1CCE3448C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280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2.9</v>
      </c>
      <c r="E4" s="29">
        <v>3.63</v>
      </c>
      <c r="F4" s="29">
        <v>2.8</v>
      </c>
      <c r="G4" s="29">
        <v>2.98</v>
      </c>
      <c r="H4" s="29">
        <v>2.98</v>
      </c>
      <c r="I4" s="29">
        <v>2.93</v>
      </c>
      <c r="J4" s="29">
        <v>2.69</v>
      </c>
      <c r="K4" s="29">
        <v>3.05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378.31</v>
      </c>
      <c r="E5" s="48">
        <v>385.5</v>
      </c>
      <c r="F5" s="48">
        <v>375.75</v>
      </c>
      <c r="G5" s="48">
        <v>363.71</v>
      </c>
      <c r="H5" s="48">
        <v>388.46</v>
      </c>
      <c r="I5" s="48">
        <v>399.6</v>
      </c>
      <c r="J5" s="48">
        <v>559.46</v>
      </c>
      <c r="K5" s="48">
        <v>696.37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1097.0989999999999</v>
      </c>
      <c r="E6" s="32">
        <f t="shared" ref="E6:K6" si="0">E5*E4</f>
        <v>1399.365</v>
      </c>
      <c r="F6" s="32">
        <f t="shared" si="0"/>
        <v>1052.0999999999999</v>
      </c>
      <c r="G6" s="32">
        <f t="shared" si="0"/>
        <v>1083.8558</v>
      </c>
      <c r="H6" s="32">
        <f t="shared" si="0"/>
        <v>1157.6107999999999</v>
      </c>
      <c r="I6" s="32">
        <f t="shared" si="0"/>
        <v>1170.8280000000002</v>
      </c>
      <c r="J6" s="32">
        <f t="shared" si="0"/>
        <v>1504.9474</v>
      </c>
      <c r="K6" s="32">
        <f t="shared" si="0"/>
        <v>2123.9285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92.2</v>
      </c>
      <c r="E7" s="3">
        <v>91.1</v>
      </c>
      <c r="F7" s="3">
        <v>90</v>
      </c>
      <c r="G7" s="3">
        <v>90.75</v>
      </c>
      <c r="H7" s="3">
        <v>91.49</v>
      </c>
      <c r="I7" s="3">
        <v>92.73</v>
      </c>
      <c r="J7" s="3">
        <v>93.97</v>
      </c>
      <c r="K7" s="3">
        <v>94.71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33</v>
      </c>
      <c r="E8" s="35">
        <v>33</v>
      </c>
      <c r="F8" s="35">
        <v>33</v>
      </c>
      <c r="G8" s="35">
        <v>33</v>
      </c>
      <c r="H8" s="35">
        <v>33</v>
      </c>
      <c r="I8" s="35">
        <v>33</v>
      </c>
      <c r="J8" s="35">
        <v>33</v>
      </c>
      <c r="K8" s="35">
        <v>33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95.7</v>
      </c>
      <c r="E9" s="49">
        <f t="shared" si="1"/>
        <v>119.78999999999999</v>
      </c>
      <c r="F9" s="49">
        <f t="shared" si="1"/>
        <v>92.399999999999991</v>
      </c>
      <c r="G9" s="49">
        <f t="shared" si="1"/>
        <v>98.34</v>
      </c>
      <c r="H9" s="49">
        <f t="shared" si="1"/>
        <v>98.34</v>
      </c>
      <c r="I9" s="49">
        <f t="shared" si="1"/>
        <v>96.690000000000012</v>
      </c>
      <c r="J9" s="49">
        <f t="shared" si="1"/>
        <v>88.77</v>
      </c>
      <c r="K9" s="49">
        <f t="shared" si="1"/>
        <v>100.64999999999999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18</v>
      </c>
      <c r="E11" s="98">
        <v>18</v>
      </c>
      <c r="F11" s="98">
        <v>18</v>
      </c>
      <c r="G11" s="98">
        <v>18</v>
      </c>
      <c r="H11" s="98">
        <v>18</v>
      </c>
      <c r="I11" s="98">
        <v>18</v>
      </c>
      <c r="J11" s="98">
        <v>18</v>
      </c>
      <c r="K11" s="98">
        <v>18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52.199999999999996</v>
      </c>
      <c r="E12" s="96">
        <f t="shared" ref="E12:K12" si="2">E11*E4</f>
        <v>65.34</v>
      </c>
      <c r="F12" s="96">
        <f t="shared" si="2"/>
        <v>50.4</v>
      </c>
      <c r="G12" s="96">
        <f t="shared" si="2"/>
        <v>53.64</v>
      </c>
      <c r="H12" s="96">
        <f t="shared" si="2"/>
        <v>53.64</v>
      </c>
      <c r="I12" s="96">
        <f t="shared" si="2"/>
        <v>52.74</v>
      </c>
      <c r="J12" s="96">
        <f t="shared" si="2"/>
        <v>48.42</v>
      </c>
      <c r="K12" s="96">
        <f t="shared" si="2"/>
        <v>54.9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29</v>
      </c>
      <c r="E15" s="96">
        <f t="shared" ref="E15:K15" si="3">E14*E4</f>
        <v>36.299999999999997</v>
      </c>
      <c r="F15" s="96">
        <f t="shared" si="3"/>
        <v>28</v>
      </c>
      <c r="G15" s="96">
        <f t="shared" si="3"/>
        <v>29.8</v>
      </c>
      <c r="H15" s="96">
        <f t="shared" si="3"/>
        <v>29.8</v>
      </c>
      <c r="I15" s="96">
        <f t="shared" si="3"/>
        <v>29.3</v>
      </c>
      <c r="J15" s="96">
        <f t="shared" si="3"/>
        <v>26.9</v>
      </c>
      <c r="K15" s="96">
        <f t="shared" si="3"/>
        <v>30.5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421.63099999999997</v>
      </c>
      <c r="E17" s="85">
        <f t="shared" ref="E17:K17" si="4">E10*E9+E13*E12+E16*E15</f>
        <v>527.91089999999997</v>
      </c>
      <c r="F17" s="85">
        <f t="shared" si="4"/>
        <v>427.11199999999997</v>
      </c>
      <c r="G17" s="85">
        <f t="shared" si="4"/>
        <v>457.60880000000003</v>
      </c>
      <c r="H17" s="85">
        <f t="shared" si="4"/>
        <v>427.57040000000001</v>
      </c>
      <c r="I17" s="85">
        <f t="shared" si="4"/>
        <v>411.66500000000008</v>
      </c>
      <c r="J17" s="85">
        <f t="shared" si="4"/>
        <v>399.7878</v>
      </c>
      <c r="K17" s="85">
        <f t="shared" si="4"/>
        <v>560.4375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421.63099999999997</v>
      </c>
      <c r="E18" s="31">
        <f t="shared" ref="E18:K18" si="5">E17</f>
        <v>527.91089999999997</v>
      </c>
      <c r="F18" s="31">
        <f t="shared" si="5"/>
        <v>427.11199999999997</v>
      </c>
      <c r="G18" s="31">
        <f t="shared" si="5"/>
        <v>457.60880000000003</v>
      </c>
      <c r="H18" s="31">
        <f t="shared" si="5"/>
        <v>427.57040000000001</v>
      </c>
      <c r="I18" s="31">
        <f t="shared" si="5"/>
        <v>411.66500000000008</v>
      </c>
      <c r="J18" s="31">
        <f t="shared" si="5"/>
        <v>399.7878</v>
      </c>
      <c r="K18" s="31">
        <f t="shared" si="5"/>
        <v>560.4375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326+158+11+25</f>
        <v>520</v>
      </c>
      <c r="E19" s="34">
        <f>152+323+14+26</f>
        <v>515</v>
      </c>
      <c r="F19" s="34">
        <f>163+327+10+27</f>
        <v>527</v>
      </c>
      <c r="G19" s="34">
        <f>164+337+11+27</f>
        <v>539</v>
      </c>
      <c r="H19" s="34">
        <f>193+338+11+24</f>
        <v>566</v>
      </c>
      <c r="I19" s="34">
        <f>155+329+12+22</f>
        <v>518</v>
      </c>
      <c r="J19" s="34">
        <f>158+355+11+22</f>
        <v>546</v>
      </c>
      <c r="K19" s="34">
        <f>170+423+18+22</f>
        <v>633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1033.8310000000001</v>
      </c>
      <c r="E20" s="38">
        <f t="shared" si="6"/>
        <v>1134.0109</v>
      </c>
      <c r="F20" s="38">
        <f t="shared" si="6"/>
        <v>1044.1120000000001</v>
      </c>
      <c r="G20" s="38">
        <f t="shared" si="6"/>
        <v>1087.3588</v>
      </c>
      <c r="H20" s="38">
        <f t="shared" si="6"/>
        <v>1085.0604000000001</v>
      </c>
      <c r="I20" s="38">
        <f t="shared" si="6"/>
        <v>1022.3950000000001</v>
      </c>
      <c r="J20" s="38">
        <f t="shared" si="6"/>
        <v>1039.7578000000001</v>
      </c>
      <c r="K20" s="38">
        <f t="shared" si="6"/>
        <v>1288.1475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63.267999999999802</v>
      </c>
      <c r="E21" s="6">
        <f t="shared" si="7"/>
        <v>265.35410000000002</v>
      </c>
      <c r="F21" s="6">
        <f t="shared" si="7"/>
        <v>7.987999999999829</v>
      </c>
      <c r="G21" s="6">
        <f t="shared" si="7"/>
        <v>-3.5029999999999291</v>
      </c>
      <c r="H21" s="6">
        <f t="shared" si="7"/>
        <v>72.550399999999854</v>
      </c>
      <c r="I21" s="6">
        <f t="shared" si="7"/>
        <v>148.43300000000011</v>
      </c>
      <c r="J21" s="6">
        <f t="shared" si="7"/>
        <v>465.18959999999993</v>
      </c>
      <c r="K21" s="6">
        <f t="shared" si="7"/>
        <v>835.78099999999995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0.27</v>
      </c>
      <c r="E25" s="29">
        <v>0.27</v>
      </c>
      <c r="F25" s="29">
        <v>0.27</v>
      </c>
      <c r="G25" s="29">
        <v>2.97</v>
      </c>
      <c r="H25" s="29">
        <v>2.87</v>
      </c>
      <c r="I25" s="29">
        <v>3.14</v>
      </c>
      <c r="J25" s="29">
        <v>2.72</v>
      </c>
      <c r="K25" s="29">
        <v>3.03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2.2999999999999998</v>
      </c>
      <c r="E26" s="29">
        <v>3.55</v>
      </c>
      <c r="F26" s="29">
        <v>2.16</v>
      </c>
      <c r="G26" s="29">
        <v>2.7</v>
      </c>
      <c r="H26" s="29">
        <v>1.83</v>
      </c>
      <c r="I26" s="29">
        <v>3.14</v>
      </c>
      <c r="J26" s="29">
        <v>2.72</v>
      </c>
      <c r="K26" s="29">
        <v>2.4900000000000002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3.11</v>
      </c>
      <c r="E27" s="29">
        <v>3.26</v>
      </c>
      <c r="F27" s="29">
        <v>2.42</v>
      </c>
      <c r="G27" s="29">
        <v>3.06</v>
      </c>
      <c r="H27" s="29">
        <v>2.77</v>
      </c>
      <c r="I27" s="29">
        <v>3.01</v>
      </c>
      <c r="J27" s="29">
        <v>1.98</v>
      </c>
      <c r="K27" s="29">
        <v>2.85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0.96</v>
      </c>
      <c r="E28" s="29">
        <v>3.61</v>
      </c>
      <c r="F28" s="29">
        <v>3.33</v>
      </c>
      <c r="G28" s="29">
        <v>2.97</v>
      </c>
      <c r="H28" s="29">
        <v>2.87</v>
      </c>
      <c r="I28" s="29">
        <v>3.14</v>
      </c>
      <c r="J28" s="29">
        <v>2.72</v>
      </c>
      <c r="K28" s="29">
        <v>3.03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3.44</v>
      </c>
      <c r="E29" s="29">
        <v>4.08</v>
      </c>
      <c r="F29" s="29">
        <v>3.74</v>
      </c>
      <c r="G29" s="29">
        <v>3.46</v>
      </c>
      <c r="H29" s="29">
        <v>3.64</v>
      </c>
      <c r="I29" s="29">
        <v>3.72</v>
      </c>
      <c r="J29" s="29">
        <v>3.44</v>
      </c>
      <c r="K29" s="29">
        <v>3.56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2.82</v>
      </c>
      <c r="E30" s="29">
        <v>2.91</v>
      </c>
      <c r="F30" s="29">
        <v>2.14</v>
      </c>
      <c r="G30" s="29">
        <v>2.91</v>
      </c>
      <c r="H30" s="29">
        <v>3.41</v>
      </c>
      <c r="I30" s="29">
        <v>3.38</v>
      </c>
      <c r="J30" s="29">
        <v>3.48</v>
      </c>
      <c r="K30" s="29">
        <v>3.41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2.65</v>
      </c>
      <c r="E31" s="39">
        <v>3.28</v>
      </c>
      <c r="F31" s="39">
        <v>2.17</v>
      </c>
      <c r="G31" s="39">
        <v>2.74</v>
      </c>
      <c r="H31" s="39">
        <v>2.72</v>
      </c>
      <c r="I31" s="39">
        <v>2.4500000000000002</v>
      </c>
      <c r="J31" s="39">
        <v>2.4500000000000002</v>
      </c>
      <c r="K31" s="39">
        <v>2.78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45-C226-4EBF-9797-453338F0B92D}">
  <dimension ref="A3:K31"/>
  <sheetViews>
    <sheetView workbookViewId="0">
      <selection activeCell="J13" sqref="I13:J13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</v>
      </c>
      <c r="E4" s="29">
        <v>2.5</v>
      </c>
      <c r="F4" s="29">
        <v>2.5</v>
      </c>
      <c r="G4" s="29">
        <v>2.5</v>
      </c>
      <c r="H4" s="29">
        <v>1.97</v>
      </c>
      <c r="I4" s="29">
        <v>2.12</v>
      </c>
      <c r="J4" s="29">
        <v>2.4700000000000002</v>
      </c>
      <c r="K4" s="29">
        <v>1.97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711.9</v>
      </c>
      <c r="E5" s="3">
        <v>689.3</v>
      </c>
      <c r="F5" s="3">
        <v>717.55</v>
      </c>
      <c r="G5" s="3">
        <v>714.72</v>
      </c>
      <c r="H5" s="3">
        <v>664.44</v>
      </c>
      <c r="I5" s="3">
        <v>703.99</v>
      </c>
      <c r="J5" s="3">
        <v>743.49</v>
      </c>
      <c r="K5" s="3">
        <v>851.32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1423.8</v>
      </c>
      <c r="E6" s="32">
        <f t="shared" ref="E6:K6" si="0">E5*E4</f>
        <v>1723.25</v>
      </c>
      <c r="F6" s="32">
        <f t="shared" si="0"/>
        <v>1793.875</v>
      </c>
      <c r="G6" s="32">
        <f t="shared" si="0"/>
        <v>1786.8000000000002</v>
      </c>
      <c r="H6" s="32">
        <f t="shared" si="0"/>
        <v>1308.9468000000002</v>
      </c>
      <c r="I6" s="32">
        <f t="shared" si="0"/>
        <v>1492.4588000000001</v>
      </c>
      <c r="J6" s="32">
        <f t="shared" si="0"/>
        <v>1836.4203000000002</v>
      </c>
      <c r="K6" s="32">
        <f t="shared" si="0"/>
        <v>1677.1004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137.86000000000001</v>
      </c>
      <c r="E7" s="3">
        <v>136.28</v>
      </c>
      <c r="F7" s="3">
        <v>137.53</v>
      </c>
      <c r="G7" s="3">
        <v>132.88</v>
      </c>
      <c r="H7" s="3">
        <v>139.29</v>
      </c>
      <c r="I7" s="3">
        <v>140.53</v>
      </c>
      <c r="J7" s="3">
        <v>141.16</v>
      </c>
      <c r="K7" s="3">
        <v>148.5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29</v>
      </c>
      <c r="E8" s="35">
        <v>29</v>
      </c>
      <c r="F8" s="35">
        <v>29</v>
      </c>
      <c r="G8" s="35">
        <v>29</v>
      </c>
      <c r="H8" s="35">
        <v>29</v>
      </c>
      <c r="I8" s="35">
        <v>29</v>
      </c>
      <c r="J8" s="35">
        <v>29</v>
      </c>
      <c r="K8" s="35">
        <v>29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</v>
      </c>
      <c r="E9" s="49">
        <f t="shared" ref="E9:K9" si="1">E8*E4</f>
        <v>72.5</v>
      </c>
      <c r="F9" s="49">
        <f t="shared" si="1"/>
        <v>72.5</v>
      </c>
      <c r="G9" s="49">
        <f t="shared" si="1"/>
        <v>72.5</v>
      </c>
      <c r="H9" s="49">
        <f t="shared" si="1"/>
        <v>57.13</v>
      </c>
      <c r="I9" s="49">
        <f t="shared" si="1"/>
        <v>61.480000000000004</v>
      </c>
      <c r="J9" s="49">
        <f t="shared" si="1"/>
        <v>71.63000000000001</v>
      </c>
      <c r="K9" s="49">
        <f t="shared" si="1"/>
        <v>57.13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16</v>
      </c>
      <c r="E11" s="98">
        <v>16</v>
      </c>
      <c r="F11" s="98">
        <v>16</v>
      </c>
      <c r="G11" s="98">
        <v>16</v>
      </c>
      <c r="H11" s="98">
        <v>16</v>
      </c>
      <c r="I11" s="98">
        <v>16</v>
      </c>
      <c r="J11" s="98">
        <v>16</v>
      </c>
      <c r="K11" s="98">
        <v>16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32</v>
      </c>
      <c r="E12" s="96">
        <f t="shared" ref="E12:K12" si="2">E11*E4</f>
        <v>40</v>
      </c>
      <c r="F12" s="96">
        <f t="shared" si="2"/>
        <v>40</v>
      </c>
      <c r="G12" s="96">
        <f t="shared" si="2"/>
        <v>40</v>
      </c>
      <c r="H12" s="96">
        <f t="shared" si="2"/>
        <v>31.52</v>
      </c>
      <c r="I12" s="96">
        <f t="shared" si="2"/>
        <v>33.92</v>
      </c>
      <c r="J12" s="96">
        <f t="shared" si="2"/>
        <v>39.520000000000003</v>
      </c>
      <c r="K12" s="96">
        <f t="shared" si="2"/>
        <v>31.52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24</v>
      </c>
      <c r="E14" s="101">
        <v>24</v>
      </c>
      <c r="F14" s="101">
        <v>24</v>
      </c>
      <c r="G14" s="101">
        <v>24</v>
      </c>
      <c r="H14" s="101">
        <v>24</v>
      </c>
      <c r="I14" s="101">
        <v>24</v>
      </c>
      <c r="J14" s="101">
        <v>24</v>
      </c>
      <c r="K14" s="101">
        <v>24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48</v>
      </c>
      <c r="E15" s="96">
        <f t="shared" ref="E15:K15" si="3">E14*E4</f>
        <v>60</v>
      </c>
      <c r="F15" s="96">
        <f t="shared" si="3"/>
        <v>60</v>
      </c>
      <c r="G15" s="96">
        <f t="shared" si="3"/>
        <v>60</v>
      </c>
      <c r="H15" s="96">
        <f t="shared" si="3"/>
        <v>47.28</v>
      </c>
      <c r="I15" s="96">
        <f t="shared" si="3"/>
        <v>50.88</v>
      </c>
      <c r="J15" s="96">
        <f t="shared" si="3"/>
        <v>59.28</v>
      </c>
      <c r="K15" s="96">
        <f t="shared" si="3"/>
        <v>47.28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308.38</v>
      </c>
      <c r="E17" s="85">
        <f t="shared" ref="E17:K17" si="4">E10*E9+E13*E12+E16*E15</f>
        <v>383.625</v>
      </c>
      <c r="F17" s="85">
        <f t="shared" si="4"/>
        <v>396.90000000000003</v>
      </c>
      <c r="G17" s="85">
        <f t="shared" si="4"/>
        <v>398</v>
      </c>
      <c r="H17" s="85">
        <f t="shared" si="4"/>
        <v>296.16980000000001</v>
      </c>
      <c r="I17" s="85">
        <f t="shared" si="4"/>
        <v>311.85200000000003</v>
      </c>
      <c r="J17" s="85">
        <f t="shared" si="4"/>
        <v>381.91140000000007</v>
      </c>
      <c r="K17" s="85">
        <f t="shared" si="4"/>
        <v>394.53190000000001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308.38</v>
      </c>
      <c r="E18" s="31">
        <f t="shared" ref="E18:K18" si="5">E17</f>
        <v>383.625</v>
      </c>
      <c r="F18" s="31">
        <f t="shared" si="5"/>
        <v>396.90000000000003</v>
      </c>
      <c r="G18" s="31">
        <f t="shared" si="5"/>
        <v>398</v>
      </c>
      <c r="H18" s="31">
        <f t="shared" si="5"/>
        <v>296.16980000000001</v>
      </c>
      <c r="I18" s="31">
        <f t="shared" si="5"/>
        <v>311.85200000000003</v>
      </c>
      <c r="J18" s="31">
        <f t="shared" si="5"/>
        <v>381.91140000000007</v>
      </c>
      <c r="K18" s="31">
        <f t="shared" si="5"/>
        <v>394.53190000000001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383+16+24</f>
        <v>423</v>
      </c>
      <c r="E19" s="34">
        <f>384+20+26</f>
        <v>430</v>
      </c>
      <c r="F19" s="34">
        <f>392+19+27</f>
        <v>438</v>
      </c>
      <c r="G19" s="34">
        <f>403+20+27</f>
        <v>450</v>
      </c>
      <c r="H19" s="34">
        <f>400+15+24</f>
        <v>439</v>
      </c>
      <c r="I19" s="34">
        <f>386+18+23</f>
        <v>427</v>
      </c>
      <c r="J19" s="34">
        <f>426.56+21.42+22</f>
        <v>469.98</v>
      </c>
      <c r="K19" s="34">
        <f>497+25+22</f>
        <v>544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869.24</v>
      </c>
      <c r="E20" s="38">
        <f t="shared" si="6"/>
        <v>949.90499999999997</v>
      </c>
      <c r="F20" s="38">
        <f t="shared" si="6"/>
        <v>972.43000000000006</v>
      </c>
      <c r="G20" s="38">
        <f t="shared" si="6"/>
        <v>980.88</v>
      </c>
      <c r="H20" s="38">
        <f t="shared" si="6"/>
        <v>874.45979999999997</v>
      </c>
      <c r="I20" s="38">
        <f t="shared" si="6"/>
        <v>879.38200000000006</v>
      </c>
      <c r="J20" s="38">
        <f t="shared" si="6"/>
        <v>993.05140000000006</v>
      </c>
      <c r="K20" s="38">
        <f t="shared" si="6"/>
        <v>1087.0319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554.55999999999995</v>
      </c>
      <c r="E21" s="6">
        <f t="shared" si="7"/>
        <v>773.34500000000003</v>
      </c>
      <c r="F21" s="6">
        <f t="shared" si="7"/>
        <v>821.44499999999994</v>
      </c>
      <c r="G21" s="6">
        <f t="shared" si="7"/>
        <v>805.92000000000019</v>
      </c>
      <c r="H21" s="6">
        <f t="shared" si="7"/>
        <v>434.48700000000019</v>
      </c>
      <c r="I21" s="6">
        <f t="shared" si="7"/>
        <v>613.07680000000005</v>
      </c>
      <c r="J21" s="6">
        <f t="shared" si="7"/>
        <v>843.36890000000017</v>
      </c>
      <c r="K21" s="6">
        <f t="shared" si="7"/>
        <v>590.06850000000009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2.27</v>
      </c>
      <c r="E26" s="39">
        <v>2.27</v>
      </c>
      <c r="F26" s="39">
        <v>2.27</v>
      </c>
      <c r="G26" s="39">
        <v>2.0099999999999998</v>
      </c>
      <c r="H26" s="39">
        <v>1.92</v>
      </c>
      <c r="I26" s="39">
        <v>2.3199999999999998</v>
      </c>
      <c r="J26" s="39">
        <v>2.46</v>
      </c>
      <c r="K26" s="39">
        <v>2.27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0.89</v>
      </c>
      <c r="E27" s="29">
        <v>0.89</v>
      </c>
      <c r="F27" s="29">
        <v>0.89</v>
      </c>
      <c r="G27" s="29">
        <v>2.0099999999999998</v>
      </c>
      <c r="H27" s="29">
        <v>1.84</v>
      </c>
      <c r="I27" s="29">
        <v>1.98</v>
      </c>
      <c r="J27" s="29">
        <v>1.55</v>
      </c>
      <c r="K27" s="29">
        <v>1.85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1.69</v>
      </c>
      <c r="E28" s="39">
        <v>1.69</v>
      </c>
      <c r="F28" s="39">
        <v>1.53</v>
      </c>
      <c r="G28" s="39">
        <v>1.73</v>
      </c>
      <c r="H28" s="39">
        <v>1.59</v>
      </c>
      <c r="I28" s="39">
        <v>1.67</v>
      </c>
      <c r="J28" s="39">
        <v>1.71</v>
      </c>
      <c r="K28" s="39">
        <v>2.02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0.9</v>
      </c>
      <c r="E29" s="39">
        <v>1.58</v>
      </c>
      <c r="F29" s="39">
        <v>1.58</v>
      </c>
      <c r="G29" s="39">
        <v>2.0099999999999998</v>
      </c>
      <c r="H29" s="39">
        <v>1.55</v>
      </c>
      <c r="I29" s="39">
        <v>1.98</v>
      </c>
      <c r="J29" s="39">
        <v>2.4300000000000002</v>
      </c>
      <c r="K29" s="39">
        <v>2.02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2.4</v>
      </c>
      <c r="E30" s="29">
        <v>2.6</v>
      </c>
      <c r="F30" s="29">
        <v>2.61</v>
      </c>
      <c r="G30" s="29">
        <v>1.74</v>
      </c>
      <c r="H30" s="29">
        <v>2.17</v>
      </c>
      <c r="I30" s="29">
        <v>1.74</v>
      </c>
      <c r="J30" s="29">
        <v>2.71</v>
      </c>
      <c r="K30" s="29">
        <v>2.81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1.89</v>
      </c>
      <c r="E31" s="29">
        <v>2.4700000000000002</v>
      </c>
      <c r="F31" s="29">
        <v>1.99</v>
      </c>
      <c r="G31" s="29">
        <v>2.58</v>
      </c>
      <c r="H31" s="29">
        <v>2.0099999999999998</v>
      </c>
      <c r="I31" s="29">
        <v>2.17</v>
      </c>
      <c r="J31" s="29">
        <v>2.56</v>
      </c>
      <c r="K31" s="29">
        <v>1.94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750E-BF3D-4FF0-BC54-9393D53BB872}">
  <dimension ref="A3:K31"/>
  <sheetViews>
    <sheetView workbookViewId="0">
      <selection activeCell="K25" sqref="K2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109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0.6</v>
      </c>
      <c r="E4" s="29">
        <v>0.89</v>
      </c>
      <c r="F4" s="29">
        <v>0.56999999999999995</v>
      </c>
      <c r="G4" s="29">
        <v>0.67</v>
      </c>
      <c r="H4" s="29">
        <v>0.65</v>
      </c>
      <c r="I4" s="29">
        <v>0.73</v>
      </c>
      <c r="J4" s="29">
        <v>0.67</v>
      </c>
      <c r="K4" s="29">
        <v>0.85</v>
      </c>
    </row>
    <row r="5" spans="1:11" x14ac:dyDescent="0.25">
      <c r="A5" s="5" t="s">
        <v>175</v>
      </c>
      <c r="B5" s="40" t="s">
        <v>1</v>
      </c>
      <c r="C5" s="5" t="s">
        <v>178</v>
      </c>
      <c r="D5" s="62">
        <v>3799.06</v>
      </c>
      <c r="E5" s="62">
        <v>4000.2</v>
      </c>
      <c r="F5" s="62">
        <v>2499.56</v>
      </c>
      <c r="G5" s="64">
        <v>2499.56</v>
      </c>
      <c r="H5" s="64">
        <v>2999.02</v>
      </c>
      <c r="I5" s="64">
        <v>3499.61</v>
      </c>
      <c r="J5" s="64">
        <v>3699.62</v>
      </c>
      <c r="K5" s="64">
        <v>4002.46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2279.4359999999997</v>
      </c>
      <c r="E6" s="32">
        <f t="shared" ref="E6:K6" si="0">E5*E4</f>
        <v>3560.1779999999999</v>
      </c>
      <c r="F6" s="32">
        <f t="shared" si="0"/>
        <v>1424.7491999999997</v>
      </c>
      <c r="G6" s="32">
        <f t="shared" si="0"/>
        <v>1674.7052000000001</v>
      </c>
      <c r="H6" s="32">
        <f t="shared" si="0"/>
        <v>1949.3630000000001</v>
      </c>
      <c r="I6" s="32">
        <f t="shared" si="0"/>
        <v>2554.7152999999998</v>
      </c>
      <c r="J6" s="32">
        <f t="shared" si="0"/>
        <v>2478.7454000000002</v>
      </c>
      <c r="K6" s="32">
        <f t="shared" si="0"/>
        <v>3402.0909999999999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211.9</v>
      </c>
      <c r="E7" s="3">
        <v>222.9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225.01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46</v>
      </c>
      <c r="E8" s="35">
        <v>46</v>
      </c>
      <c r="F8" s="35">
        <v>46</v>
      </c>
      <c r="G8" s="35">
        <v>46</v>
      </c>
      <c r="H8" s="35">
        <v>46</v>
      </c>
      <c r="I8" s="35">
        <v>46</v>
      </c>
      <c r="J8" s="35">
        <v>46</v>
      </c>
      <c r="K8" s="35">
        <v>46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27.599999999999998</v>
      </c>
      <c r="E9" s="49">
        <f t="shared" si="1"/>
        <v>40.94</v>
      </c>
      <c r="F9" s="49">
        <f t="shared" si="1"/>
        <v>26.22</v>
      </c>
      <c r="G9" s="49">
        <f t="shared" si="1"/>
        <v>30.82</v>
      </c>
      <c r="H9" s="49">
        <f t="shared" si="1"/>
        <v>29.900000000000002</v>
      </c>
      <c r="I9" s="49">
        <f t="shared" si="1"/>
        <v>33.58</v>
      </c>
      <c r="J9" s="49">
        <f t="shared" si="1"/>
        <v>30.82</v>
      </c>
      <c r="K9" s="49">
        <f t="shared" si="1"/>
        <v>39.1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19</v>
      </c>
      <c r="E11" s="98">
        <v>19</v>
      </c>
      <c r="F11" s="98">
        <v>19</v>
      </c>
      <c r="G11" s="98">
        <v>19</v>
      </c>
      <c r="H11" s="98">
        <v>19</v>
      </c>
      <c r="I11" s="98">
        <v>19</v>
      </c>
      <c r="J11" s="98">
        <v>19</v>
      </c>
      <c r="K11" s="98">
        <v>19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11.4</v>
      </c>
      <c r="E12" s="96">
        <f t="shared" ref="E12:K12" si="2">E11*E4</f>
        <v>16.91</v>
      </c>
      <c r="F12" s="96">
        <f t="shared" si="2"/>
        <v>10.829999999999998</v>
      </c>
      <c r="G12" s="96">
        <f t="shared" si="2"/>
        <v>12.73</v>
      </c>
      <c r="H12" s="96">
        <f t="shared" si="2"/>
        <v>12.35</v>
      </c>
      <c r="I12" s="96">
        <f t="shared" si="2"/>
        <v>13.87</v>
      </c>
      <c r="J12" s="96">
        <f t="shared" si="2"/>
        <v>12.73</v>
      </c>
      <c r="K12" s="96">
        <f t="shared" si="2"/>
        <v>16.149999999999999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6</v>
      </c>
      <c r="E15" s="96">
        <f t="shared" ref="E15:K15" si="3">E14*E4</f>
        <v>8.9</v>
      </c>
      <c r="F15" s="96">
        <f t="shared" si="3"/>
        <v>5.6999999999999993</v>
      </c>
      <c r="G15" s="96">
        <f t="shared" si="3"/>
        <v>6.7</v>
      </c>
      <c r="H15" s="96">
        <f t="shared" si="3"/>
        <v>6.5</v>
      </c>
      <c r="I15" s="96">
        <f t="shared" si="3"/>
        <v>7.3</v>
      </c>
      <c r="J15" s="96">
        <f t="shared" si="3"/>
        <v>6.7</v>
      </c>
      <c r="K15" s="96">
        <f t="shared" si="3"/>
        <v>8.5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112.34399999999999</v>
      </c>
      <c r="E17" s="85">
        <f t="shared" ref="E17:K17" si="4">E10*E9+E13*E12+E16*E15</f>
        <v>167.3022</v>
      </c>
      <c r="F17" s="85">
        <f t="shared" si="4"/>
        <v>113.4186</v>
      </c>
      <c r="G17" s="85">
        <f t="shared" si="4"/>
        <v>134.3484</v>
      </c>
      <c r="H17" s="85">
        <f t="shared" si="4"/>
        <v>121.2445</v>
      </c>
      <c r="I17" s="85">
        <f t="shared" si="4"/>
        <v>133.5608</v>
      </c>
      <c r="J17" s="85">
        <f t="shared" si="4"/>
        <v>128.31840000000003</v>
      </c>
      <c r="K17" s="85">
        <f t="shared" si="4"/>
        <v>196.23099999999999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112.34399999999999</v>
      </c>
      <c r="E18" s="31">
        <f t="shared" ref="E18:K18" si="5">E17</f>
        <v>167.3022</v>
      </c>
      <c r="F18" s="31">
        <f t="shared" si="5"/>
        <v>113.4186</v>
      </c>
      <c r="G18" s="31">
        <f t="shared" si="5"/>
        <v>134.3484</v>
      </c>
      <c r="H18" s="31">
        <f t="shared" si="5"/>
        <v>121.2445</v>
      </c>
      <c r="I18" s="31">
        <f t="shared" si="5"/>
        <v>133.5608</v>
      </c>
      <c r="J18" s="31">
        <f t="shared" si="5"/>
        <v>128.31840000000003</v>
      </c>
      <c r="K18" s="31">
        <f t="shared" si="5"/>
        <v>196.23099999999999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589+83+288+7+25</f>
        <v>992</v>
      </c>
      <c r="E19" s="34">
        <f>74+736+427+11+26</f>
        <v>1274</v>
      </c>
      <c r="F19" s="34">
        <f>73.73+579+273+7+27</f>
        <v>959.73</v>
      </c>
      <c r="G19" s="34">
        <f>75+642+322+8+27</f>
        <v>1074</v>
      </c>
      <c r="H19" s="34">
        <f>77+634+312+8+24</f>
        <v>1055</v>
      </c>
      <c r="I19" s="34">
        <f>94+664+350+9+22</f>
        <v>1139</v>
      </c>
      <c r="J19" s="34">
        <f>96+686+402+9+22</f>
        <v>1215</v>
      </c>
      <c r="K19" s="34">
        <f>103+893+612+10+22</f>
        <v>1640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1316.2440000000001</v>
      </c>
      <c r="E20" s="38">
        <f t="shared" si="6"/>
        <v>1664.2022000000002</v>
      </c>
      <c r="F20" s="38">
        <f t="shared" si="6"/>
        <v>1293.1486</v>
      </c>
      <c r="G20" s="38">
        <f t="shared" si="6"/>
        <v>1428.3484000000001</v>
      </c>
      <c r="H20" s="38">
        <f t="shared" si="6"/>
        <v>1396.2445</v>
      </c>
      <c r="I20" s="38">
        <f t="shared" si="6"/>
        <v>1492.5608</v>
      </c>
      <c r="J20" s="38">
        <f t="shared" si="6"/>
        <v>1563.3184000000001</v>
      </c>
      <c r="K20" s="38">
        <f t="shared" si="6"/>
        <v>2061.241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963.19199999999955</v>
      </c>
      <c r="E21" s="6">
        <f t="shared" si="7"/>
        <v>1895.9757999999997</v>
      </c>
      <c r="F21" s="6">
        <f t="shared" si="7"/>
        <v>131.60059999999976</v>
      </c>
      <c r="G21" s="6">
        <f t="shared" si="7"/>
        <v>246.35680000000002</v>
      </c>
      <c r="H21" s="6">
        <f t="shared" si="7"/>
        <v>553.11850000000004</v>
      </c>
      <c r="I21" s="6">
        <f t="shared" si="7"/>
        <v>1062.1544999999999</v>
      </c>
      <c r="J21" s="6">
        <f t="shared" si="7"/>
        <v>915.42700000000013</v>
      </c>
      <c r="K21" s="6">
        <f t="shared" si="7"/>
        <v>1340.85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0.35</v>
      </c>
      <c r="E26" s="29">
        <v>0.59</v>
      </c>
      <c r="F26" s="29">
        <v>0.78</v>
      </c>
      <c r="G26" s="29">
        <v>0.67</v>
      </c>
      <c r="H26" s="29">
        <v>0.49</v>
      </c>
      <c r="I26" s="39">
        <v>1.1599999999999999</v>
      </c>
      <c r="J26" s="39">
        <v>0.54</v>
      </c>
      <c r="K26" s="39">
        <v>0.86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0.44</v>
      </c>
      <c r="E27" s="39">
        <v>0.8</v>
      </c>
      <c r="F27" s="39">
        <v>0.43</v>
      </c>
      <c r="G27" s="39">
        <v>0.56000000000000005</v>
      </c>
      <c r="H27" s="39">
        <v>0.83</v>
      </c>
      <c r="I27" s="39">
        <v>0.63</v>
      </c>
      <c r="J27" s="39">
        <v>0.88</v>
      </c>
      <c r="K27" s="39">
        <v>0.93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0.88</v>
      </c>
      <c r="E28" s="29">
        <v>0.38</v>
      </c>
      <c r="F28" s="29">
        <v>0.8</v>
      </c>
      <c r="G28" s="29">
        <v>0.7</v>
      </c>
      <c r="H28" s="29">
        <v>0.71</v>
      </c>
      <c r="I28" s="39">
        <v>0.85</v>
      </c>
      <c r="J28" s="39">
        <v>0.7</v>
      </c>
      <c r="K28" s="39">
        <v>0.85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0.59</v>
      </c>
      <c r="E29" s="29">
        <v>0.81</v>
      </c>
      <c r="F29" s="29">
        <v>0.82</v>
      </c>
      <c r="G29" s="29">
        <v>0.99</v>
      </c>
      <c r="H29" s="29">
        <v>0.97</v>
      </c>
      <c r="I29" s="29">
        <v>1.02</v>
      </c>
      <c r="J29" s="29">
        <v>0.84</v>
      </c>
      <c r="K29" s="29">
        <v>0.96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0.66</v>
      </c>
      <c r="E30" s="29">
        <v>0.7</v>
      </c>
      <c r="F30" s="29">
        <v>0.56999999999999995</v>
      </c>
      <c r="G30" s="29">
        <v>0.74</v>
      </c>
      <c r="H30" s="29">
        <v>0.62</v>
      </c>
      <c r="I30" s="39">
        <v>0.63</v>
      </c>
      <c r="J30" s="39">
        <v>0.66</v>
      </c>
      <c r="K30" s="39">
        <v>0.91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0.5</v>
      </c>
      <c r="E31" s="29">
        <v>0.75</v>
      </c>
      <c r="F31" s="29">
        <v>0.8</v>
      </c>
      <c r="G31" s="29">
        <v>0.53</v>
      </c>
      <c r="H31" s="29">
        <v>0.64</v>
      </c>
      <c r="I31" s="29">
        <v>0.78</v>
      </c>
      <c r="J31" s="29">
        <v>0.72</v>
      </c>
      <c r="K31" s="29">
        <v>0.75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163-0E9C-46D6-BC12-326C79CC9034}">
  <dimension ref="A2:C29"/>
  <sheetViews>
    <sheetView workbookViewId="0">
      <selection activeCell="F24" sqref="F24"/>
    </sheetView>
  </sheetViews>
  <sheetFormatPr baseColWidth="10" defaultRowHeight="15" x14ac:dyDescent="0.25"/>
  <cols>
    <col min="1" max="1" width="28.28515625" customWidth="1"/>
    <col min="2" max="2" width="17.140625" customWidth="1"/>
    <col min="3" max="3" width="17.7109375" bestFit="1" customWidth="1"/>
  </cols>
  <sheetData>
    <row r="2" spans="1:3" x14ac:dyDescent="0.25">
      <c r="A2" s="82" t="s">
        <v>287</v>
      </c>
      <c r="B2" s="82" t="s">
        <v>288</v>
      </c>
      <c r="C2" s="82" t="s">
        <v>289</v>
      </c>
    </row>
    <row r="3" spans="1:3" x14ac:dyDescent="0.25">
      <c r="A3" s="5" t="s">
        <v>290</v>
      </c>
      <c r="B3" s="5" t="s">
        <v>60</v>
      </c>
      <c r="C3" s="5" t="s">
        <v>112</v>
      </c>
    </row>
    <row r="4" spans="1:3" x14ac:dyDescent="0.25">
      <c r="A4" s="5" t="s">
        <v>291</v>
      </c>
      <c r="B4" s="5" t="s">
        <v>73</v>
      </c>
      <c r="C4" s="5" t="s">
        <v>112</v>
      </c>
    </row>
    <row r="5" spans="1:3" x14ac:dyDescent="0.25">
      <c r="A5" s="5" t="s">
        <v>30</v>
      </c>
      <c r="B5" s="5" t="s">
        <v>81</v>
      </c>
      <c r="C5" s="5" t="s">
        <v>64</v>
      </c>
    </row>
    <row r="6" spans="1:3" x14ac:dyDescent="0.25">
      <c r="A6" s="5" t="s">
        <v>107</v>
      </c>
      <c r="B6" s="5" t="s">
        <v>303</v>
      </c>
      <c r="C6" s="5" t="s">
        <v>64</v>
      </c>
    </row>
    <row r="7" spans="1:3" x14ac:dyDescent="0.25">
      <c r="A7" s="5" t="s">
        <v>108</v>
      </c>
      <c r="B7" s="5" t="s">
        <v>84</v>
      </c>
      <c r="C7" s="5" t="s">
        <v>60</v>
      </c>
    </row>
    <row r="8" spans="1:3" x14ac:dyDescent="0.25">
      <c r="A8" s="5" t="s">
        <v>292</v>
      </c>
      <c r="B8" s="5" t="s">
        <v>81</v>
      </c>
      <c r="C8" s="5" t="s">
        <v>74</v>
      </c>
    </row>
    <row r="9" spans="1:3" x14ac:dyDescent="0.25">
      <c r="A9" s="5" t="s">
        <v>113</v>
      </c>
      <c r="B9" s="5" t="s">
        <v>301</v>
      </c>
      <c r="C9" s="5" t="s">
        <v>64</v>
      </c>
    </row>
    <row r="10" spans="1:3" x14ac:dyDescent="0.25">
      <c r="A10" s="5" t="s">
        <v>242</v>
      </c>
      <c r="B10" s="5" t="s">
        <v>304</v>
      </c>
      <c r="C10" s="5" t="s">
        <v>58</v>
      </c>
    </row>
    <row r="11" spans="1:3" x14ac:dyDescent="0.25">
      <c r="A11" s="5" t="s">
        <v>293</v>
      </c>
      <c r="B11" s="5" t="s">
        <v>82</v>
      </c>
      <c r="C11" s="5" t="s">
        <v>64</v>
      </c>
    </row>
    <row r="12" spans="1:3" x14ac:dyDescent="0.25">
      <c r="A12" s="5" t="s">
        <v>294</v>
      </c>
      <c r="B12" s="5" t="s">
        <v>301</v>
      </c>
      <c r="C12" s="5" t="s">
        <v>64</v>
      </c>
    </row>
    <row r="13" spans="1:3" x14ac:dyDescent="0.25">
      <c r="A13" s="5" t="s">
        <v>295</v>
      </c>
      <c r="B13" s="5" t="s">
        <v>82</v>
      </c>
      <c r="C13" s="5" t="s">
        <v>64</v>
      </c>
    </row>
    <row r="14" spans="1:3" x14ac:dyDescent="0.25">
      <c r="A14" s="5" t="s">
        <v>147</v>
      </c>
      <c r="B14" s="5" t="s">
        <v>82</v>
      </c>
      <c r="C14" s="5" t="s">
        <v>73</v>
      </c>
    </row>
    <row r="15" spans="1:3" x14ac:dyDescent="0.25">
      <c r="A15" s="5" t="s">
        <v>104</v>
      </c>
      <c r="B15" s="5" t="s">
        <v>82</v>
      </c>
      <c r="C15" s="5" t="s">
        <v>64</v>
      </c>
    </row>
    <row r="16" spans="1:3" x14ac:dyDescent="0.25">
      <c r="A16" s="5" t="s">
        <v>243</v>
      </c>
      <c r="B16" s="5" t="s">
        <v>81</v>
      </c>
      <c r="C16" s="5" t="s">
        <v>58</v>
      </c>
    </row>
    <row r="17" spans="1:3" x14ac:dyDescent="0.25">
      <c r="A17" s="5" t="s">
        <v>296</v>
      </c>
      <c r="B17" s="5" t="s">
        <v>304</v>
      </c>
      <c r="C17" s="5" t="s">
        <v>69</v>
      </c>
    </row>
    <row r="18" spans="1:3" x14ac:dyDescent="0.25">
      <c r="A18" s="5" t="s">
        <v>128</v>
      </c>
      <c r="B18" s="5" t="s">
        <v>305</v>
      </c>
      <c r="C18" s="5" t="s">
        <v>72</v>
      </c>
    </row>
    <row r="19" spans="1:3" x14ac:dyDescent="0.25">
      <c r="A19" s="5" t="s">
        <v>105</v>
      </c>
      <c r="B19" s="5" t="s">
        <v>112</v>
      </c>
      <c r="C19" s="5" t="s">
        <v>60</v>
      </c>
    </row>
    <row r="20" spans="1:3" x14ac:dyDescent="0.25">
      <c r="A20" s="5" t="s">
        <v>244</v>
      </c>
      <c r="B20" s="5" t="s">
        <v>112</v>
      </c>
      <c r="C20" s="5" t="s">
        <v>59</v>
      </c>
    </row>
    <row r="21" spans="1:3" x14ac:dyDescent="0.25">
      <c r="A21" s="5" t="s">
        <v>245</v>
      </c>
      <c r="B21" s="5" t="s">
        <v>85</v>
      </c>
      <c r="C21" s="5" t="s">
        <v>59</v>
      </c>
    </row>
    <row r="22" spans="1:3" x14ac:dyDescent="0.25">
      <c r="A22" s="5" t="s">
        <v>297</v>
      </c>
      <c r="B22" s="5" t="s">
        <v>306</v>
      </c>
      <c r="C22" s="5" t="s">
        <v>73</v>
      </c>
    </row>
    <row r="23" spans="1:3" x14ac:dyDescent="0.25">
      <c r="A23" s="5" t="s">
        <v>43</v>
      </c>
      <c r="B23" s="5" t="s">
        <v>59</v>
      </c>
      <c r="C23" s="5" t="s">
        <v>64</v>
      </c>
    </row>
    <row r="24" spans="1:3" x14ac:dyDescent="0.25">
      <c r="A24" s="5" t="s">
        <v>54</v>
      </c>
      <c r="B24" s="5" t="s">
        <v>303</v>
      </c>
      <c r="C24" s="5" t="s">
        <v>74</v>
      </c>
    </row>
    <row r="25" spans="1:3" x14ac:dyDescent="0.25">
      <c r="A25" s="5" t="s">
        <v>109</v>
      </c>
      <c r="B25" s="5" t="s">
        <v>112</v>
      </c>
      <c r="C25" s="5" t="s">
        <v>59</v>
      </c>
    </row>
    <row r="28" spans="1:3" x14ac:dyDescent="0.25">
      <c r="A28" t="s">
        <v>299</v>
      </c>
    </row>
    <row r="29" spans="1:3" x14ac:dyDescent="0.25">
      <c r="A29" t="s">
        <v>300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55A-C7ED-43CE-9761-E354D432F140}">
  <sheetPr codeName="Tabelle3"/>
  <dimension ref="A1:AA13"/>
  <sheetViews>
    <sheetView workbookViewId="0">
      <selection activeCell="I20" sqref="I20"/>
    </sheetView>
  </sheetViews>
  <sheetFormatPr baseColWidth="10" defaultRowHeight="15" x14ac:dyDescent="0.25"/>
  <cols>
    <col min="2" max="2" width="30.28515625" bestFit="1" customWidth="1"/>
    <col min="7" max="7" width="13.7109375" customWidth="1"/>
    <col min="8" max="8" width="15.28515625" customWidth="1"/>
    <col min="9" max="9" width="14" customWidth="1"/>
    <col min="10" max="10" width="13.7109375" customWidth="1"/>
    <col min="11" max="11" width="13.5703125" customWidth="1"/>
    <col min="12" max="16" width="14.7109375" customWidth="1"/>
    <col min="17" max="17" width="12" bestFit="1" customWidth="1"/>
    <col min="18" max="18" width="12.140625" bestFit="1" customWidth="1"/>
    <col min="19" max="19" width="14" customWidth="1"/>
    <col min="20" max="20" width="12" bestFit="1" customWidth="1"/>
    <col min="21" max="21" width="12.140625" bestFit="1" customWidth="1"/>
    <col min="22" max="23" width="15.28515625" bestFit="1" customWidth="1"/>
    <col min="27" max="27" width="14.5703125" bestFit="1" customWidth="1"/>
  </cols>
  <sheetData>
    <row r="1" spans="1:27" ht="116.25" customHeight="1" x14ac:dyDescent="0.25">
      <c r="B1" s="8" t="s">
        <v>22</v>
      </c>
    </row>
    <row r="2" spans="1:27" x14ac:dyDescent="0.25">
      <c r="A2" s="5"/>
      <c r="B2" s="5"/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18</v>
      </c>
      <c r="U2" s="4" t="s">
        <v>18</v>
      </c>
      <c r="V2" s="4" t="s">
        <v>18</v>
      </c>
      <c r="W2" s="4" t="s">
        <v>18</v>
      </c>
      <c r="X2" s="4" t="s">
        <v>18</v>
      </c>
      <c r="Y2" s="4" t="s">
        <v>18</v>
      </c>
      <c r="Z2" s="4" t="s">
        <v>18</v>
      </c>
      <c r="AA2" s="4" t="s">
        <v>18</v>
      </c>
    </row>
    <row r="3" spans="1:27" ht="31.5" x14ac:dyDescent="0.35">
      <c r="A3" s="113" t="s">
        <v>36</v>
      </c>
      <c r="B3" s="113"/>
      <c r="C3" s="5" t="s">
        <v>23</v>
      </c>
      <c r="D3" s="5" t="s">
        <v>23</v>
      </c>
      <c r="E3" s="5" t="s">
        <v>28</v>
      </c>
      <c r="F3" s="5" t="s">
        <v>28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35</v>
      </c>
      <c r="M3" s="7" t="s">
        <v>35</v>
      </c>
      <c r="N3" s="7" t="s">
        <v>35</v>
      </c>
      <c r="O3" s="7" t="s">
        <v>35</v>
      </c>
      <c r="P3" s="7" t="s">
        <v>35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50</v>
      </c>
      <c r="Y3" s="7" t="s">
        <v>50</v>
      </c>
      <c r="Z3" s="7" t="s">
        <v>50</v>
      </c>
      <c r="AA3" s="7" t="s">
        <v>50</v>
      </c>
    </row>
    <row r="4" spans="1:27" ht="30" x14ac:dyDescent="0.25">
      <c r="A4" s="4" t="s">
        <v>8</v>
      </c>
      <c r="B4" s="4" t="s">
        <v>9</v>
      </c>
      <c r="C4" s="7" t="s">
        <v>24</v>
      </c>
      <c r="D4" s="7" t="s">
        <v>25</v>
      </c>
      <c r="E4" s="5" t="s">
        <v>26</v>
      </c>
      <c r="F4" s="5" t="s">
        <v>27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37</v>
      </c>
      <c r="M4" s="7" t="s">
        <v>38</v>
      </c>
      <c r="N4" s="5" t="s">
        <v>39</v>
      </c>
      <c r="O4" s="5" t="s">
        <v>40</v>
      </c>
      <c r="P4" s="5" t="s">
        <v>41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7" t="s">
        <v>48</v>
      </c>
      <c r="W4" s="7" t="s">
        <v>49</v>
      </c>
      <c r="X4" s="5" t="s">
        <v>51</v>
      </c>
      <c r="Y4" s="5" t="s">
        <v>52</v>
      </c>
      <c r="Z4" s="5" t="s">
        <v>53</v>
      </c>
      <c r="AA4" s="5" t="s">
        <v>54</v>
      </c>
    </row>
    <row r="5" spans="1:27" x14ac:dyDescent="0.25">
      <c r="A5" s="5" t="s">
        <v>7</v>
      </c>
      <c r="B5" s="5" t="s">
        <v>11</v>
      </c>
      <c r="C5" s="5">
        <v>1</v>
      </c>
      <c r="D5" s="5">
        <v>1</v>
      </c>
      <c r="E5" s="5">
        <v>1</v>
      </c>
      <c r="F5" s="5"/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/>
      <c r="N5" s="5"/>
      <c r="O5" s="5">
        <v>1</v>
      </c>
      <c r="P5" s="5"/>
      <c r="Q5" s="5">
        <v>1</v>
      </c>
      <c r="R5" s="5">
        <v>1</v>
      </c>
      <c r="S5" s="5"/>
      <c r="T5" s="5"/>
      <c r="U5" s="5"/>
      <c r="V5" s="5">
        <v>1</v>
      </c>
      <c r="W5" s="5">
        <v>1</v>
      </c>
      <c r="X5" s="5">
        <v>1</v>
      </c>
      <c r="Y5" s="5"/>
      <c r="Z5" s="5">
        <v>1</v>
      </c>
      <c r="AA5" s="5"/>
    </row>
    <row r="6" spans="1:27" x14ac:dyDescent="0.25">
      <c r="A6" s="5" t="s">
        <v>7</v>
      </c>
      <c r="B6" s="5" t="s">
        <v>10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2</v>
      </c>
      <c r="X6" s="5">
        <v>1</v>
      </c>
      <c r="Y6" s="5">
        <v>2</v>
      </c>
      <c r="Z6" s="5"/>
      <c r="AA6" s="5">
        <v>1</v>
      </c>
    </row>
    <row r="7" spans="1:27" x14ac:dyDescent="0.25">
      <c r="A7" s="5" t="s">
        <v>7</v>
      </c>
      <c r="B7" s="5" t="s">
        <v>12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>
        <v>0</v>
      </c>
      <c r="W7" s="5">
        <v>0</v>
      </c>
      <c r="X7" s="5">
        <v>0</v>
      </c>
      <c r="Y7" s="5">
        <v>1</v>
      </c>
      <c r="Z7" s="5"/>
      <c r="AA7" s="5"/>
    </row>
    <row r="8" spans="1:27" x14ac:dyDescent="0.25">
      <c r="A8" s="5" t="s">
        <v>7</v>
      </c>
      <c r="B8" s="5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/>
      <c r="V8" s="5">
        <v>1</v>
      </c>
      <c r="W8" s="5">
        <v>0</v>
      </c>
      <c r="X8" s="5">
        <v>1</v>
      </c>
      <c r="Y8" s="5">
        <v>1</v>
      </c>
      <c r="Z8" s="5"/>
      <c r="AA8" s="5">
        <v>0</v>
      </c>
    </row>
    <row r="9" spans="1:27" x14ac:dyDescent="0.25">
      <c r="A9" s="5" t="s">
        <v>7</v>
      </c>
      <c r="B9" s="5" t="s">
        <v>14</v>
      </c>
      <c r="C9" s="5">
        <v>1</v>
      </c>
      <c r="D9" s="5">
        <v>1</v>
      </c>
      <c r="E9" s="5">
        <v>1</v>
      </c>
      <c r="F9" s="5"/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/>
      <c r="V9" s="5">
        <v>0</v>
      </c>
      <c r="W9" s="5">
        <v>0</v>
      </c>
      <c r="X9" s="5">
        <v>0</v>
      </c>
      <c r="Y9" s="5"/>
      <c r="Z9" s="5"/>
      <c r="AA9" s="5">
        <v>0</v>
      </c>
    </row>
    <row r="10" spans="1:27" x14ac:dyDescent="0.25">
      <c r="A10" s="5" t="s">
        <v>7</v>
      </c>
      <c r="B10" s="5" t="s">
        <v>15</v>
      </c>
      <c r="C10" s="5">
        <v>0</v>
      </c>
      <c r="D10" s="5">
        <v>0</v>
      </c>
      <c r="E10" s="5">
        <v>0</v>
      </c>
      <c r="F10" s="5"/>
      <c r="G10" s="5"/>
      <c r="H10" s="5">
        <v>0</v>
      </c>
      <c r="I10" s="5"/>
      <c r="J10" s="5"/>
      <c r="K10" s="5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>
        <v>2</v>
      </c>
      <c r="W10" s="5">
        <v>0</v>
      </c>
      <c r="X10" s="5">
        <v>0</v>
      </c>
      <c r="Y10" s="5"/>
      <c r="Z10" s="5"/>
      <c r="AA10" s="5"/>
    </row>
    <row r="11" spans="1:27" x14ac:dyDescent="0.25">
      <c r="A11" s="5" t="s">
        <v>7</v>
      </c>
      <c r="B11" s="5" t="s">
        <v>16</v>
      </c>
      <c r="C11" s="5">
        <v>0</v>
      </c>
      <c r="D11" s="5">
        <v>0</v>
      </c>
      <c r="E11" s="5">
        <v>0</v>
      </c>
      <c r="F11" s="5">
        <v>1</v>
      </c>
      <c r="G11" s="5"/>
      <c r="H11" s="5">
        <v>0</v>
      </c>
      <c r="I11" s="5"/>
      <c r="J11" s="5">
        <v>0</v>
      </c>
      <c r="K11" s="5">
        <v>0</v>
      </c>
      <c r="L11" s="5"/>
      <c r="M11" s="5"/>
      <c r="N11" s="5"/>
      <c r="O11" s="5">
        <v>0</v>
      </c>
      <c r="P11" s="5"/>
      <c r="Q11" s="5">
        <v>0</v>
      </c>
      <c r="R11" s="5">
        <v>0</v>
      </c>
      <c r="S11" s="5"/>
      <c r="T11" s="5"/>
      <c r="U11" s="5"/>
      <c r="V11" s="5">
        <v>0</v>
      </c>
      <c r="W11" s="5">
        <v>0</v>
      </c>
      <c r="X11" s="5">
        <v>0</v>
      </c>
      <c r="Y11" s="5"/>
      <c r="Z11" s="5"/>
      <c r="AA11" s="5"/>
    </row>
    <row r="12" spans="1:27" x14ac:dyDescent="0.25">
      <c r="A12" s="5" t="s">
        <v>20</v>
      </c>
      <c r="B12" s="5" t="s">
        <v>17</v>
      </c>
      <c r="C12" s="5">
        <v>0</v>
      </c>
      <c r="D12" s="5">
        <v>0</v>
      </c>
      <c r="E12" s="5">
        <v>0</v>
      </c>
      <c r="F12" s="5"/>
      <c r="G12" s="5"/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/>
      <c r="N12" s="5"/>
      <c r="O12" s="5">
        <v>0</v>
      </c>
      <c r="P12" s="5"/>
      <c r="Q12" s="5">
        <v>0</v>
      </c>
      <c r="R12" s="5">
        <v>0</v>
      </c>
      <c r="S12" s="5"/>
      <c r="T12" s="5"/>
      <c r="U12" s="5">
        <v>0</v>
      </c>
      <c r="V12" s="5">
        <v>1</v>
      </c>
      <c r="W12" s="5">
        <v>0</v>
      </c>
      <c r="X12" s="5">
        <v>0</v>
      </c>
      <c r="Y12" s="5"/>
      <c r="Z12" s="5"/>
      <c r="AA12" s="5"/>
    </row>
    <row r="13" spans="1:27" x14ac:dyDescent="0.25">
      <c r="A13" s="5" t="s">
        <v>21</v>
      </c>
      <c r="B13" s="5" t="s">
        <v>19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1</v>
      </c>
    </row>
  </sheetData>
  <mergeCells count="1">
    <mergeCell ref="A3:B3"/>
  </mergeCells>
  <conditionalFormatting sqref="C5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5B8-029F-4784-B88D-A39BF661F3CA}">
  <sheetPr codeName="Tabelle4"/>
  <dimension ref="A2:AB31"/>
  <sheetViews>
    <sheetView topLeftCell="A4" zoomScale="85" zoomScaleNormal="85" workbookViewId="0">
      <pane xSplit="1" topLeftCell="B1" activePane="topRight" state="frozen"/>
      <selection activeCell="A2" sqref="A2"/>
      <selection pane="topRight" activeCell="S28" sqref="S28"/>
    </sheetView>
  </sheetViews>
  <sheetFormatPr baseColWidth="10" defaultRowHeight="15" x14ac:dyDescent="0.25"/>
  <cols>
    <col min="1" max="1" width="36" customWidth="1"/>
    <col min="2" max="2" width="12.7109375" bestFit="1" customWidth="1"/>
    <col min="3" max="3" width="11.140625" bestFit="1" customWidth="1"/>
    <col min="4" max="4" width="11" customWidth="1"/>
    <col min="5" max="5" width="12.7109375" bestFit="1" customWidth="1"/>
    <col min="6" max="6" width="10.7109375" bestFit="1" customWidth="1"/>
    <col min="7" max="15" width="15.7109375" customWidth="1"/>
    <col min="18" max="19" width="13" customWidth="1"/>
    <col min="20" max="20" width="12.140625" bestFit="1" customWidth="1"/>
    <col min="21" max="21" width="15.5703125" customWidth="1"/>
    <col min="22" max="22" width="12.140625" bestFit="1" customWidth="1"/>
    <col min="23" max="23" width="15.28515625" customWidth="1"/>
    <col min="24" max="24" width="15.28515625" bestFit="1" customWidth="1"/>
    <col min="25" max="25" width="11" bestFit="1" customWidth="1"/>
    <col min="26" max="26" width="11.7109375" bestFit="1" customWidth="1"/>
    <col min="27" max="27" width="11.85546875" bestFit="1" customWidth="1"/>
    <col min="28" max="28" width="14.5703125" bestFit="1" customWidth="1"/>
  </cols>
  <sheetData>
    <row r="2" spans="1:28" ht="58.5" customHeight="1" x14ac:dyDescent="0.25">
      <c r="A2" t="s">
        <v>281</v>
      </c>
      <c r="B2" s="114" t="s">
        <v>57</v>
      </c>
      <c r="C2" s="115"/>
      <c r="D2" s="115"/>
      <c r="E2" s="115"/>
      <c r="F2" s="115"/>
    </row>
    <row r="3" spans="1:28" ht="58.5" customHeight="1" x14ac:dyDescent="0.25">
      <c r="A3" t="s">
        <v>134</v>
      </c>
      <c r="B3" s="10"/>
      <c r="C3" s="9"/>
      <c r="D3" s="9"/>
      <c r="E3" s="9"/>
      <c r="F3" s="9"/>
    </row>
    <row r="4" spans="1:28" x14ac:dyDescent="0.25">
      <c r="A4" t="s">
        <v>79</v>
      </c>
    </row>
    <row r="5" spans="1:28" x14ac:dyDescent="0.25">
      <c r="A5" t="s">
        <v>102</v>
      </c>
    </row>
    <row r="6" spans="1:28" x14ac:dyDescent="0.25">
      <c r="A6" t="s">
        <v>129</v>
      </c>
    </row>
    <row r="7" spans="1:28" x14ac:dyDescent="0.25">
      <c r="A7" t="s">
        <v>90</v>
      </c>
    </row>
    <row r="8" spans="1:28" x14ac:dyDescent="0.25">
      <c r="A8" s="80" t="s">
        <v>283</v>
      </c>
      <c r="B8" t="s">
        <v>205</v>
      </c>
    </row>
    <row r="9" spans="1:28" s="1" customFormat="1" x14ac:dyDescent="0.25">
      <c r="B9" s="13" t="s">
        <v>18</v>
      </c>
      <c r="C9" s="13" t="s">
        <v>18</v>
      </c>
      <c r="D9" s="13"/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3" t="s">
        <v>18</v>
      </c>
      <c r="K9" s="13" t="s">
        <v>18</v>
      </c>
      <c r="L9" s="13" t="s">
        <v>18</v>
      </c>
      <c r="M9" s="13" t="s">
        <v>18</v>
      </c>
      <c r="N9" s="13" t="s">
        <v>18</v>
      </c>
      <c r="O9" s="13" t="s">
        <v>18</v>
      </c>
      <c r="P9" s="1" t="s">
        <v>18</v>
      </c>
      <c r="Q9" s="1" t="s">
        <v>18</v>
      </c>
      <c r="R9" s="13" t="s">
        <v>18</v>
      </c>
      <c r="S9" s="13" t="s">
        <v>18</v>
      </c>
      <c r="T9" s="13" t="s">
        <v>18</v>
      </c>
      <c r="U9" s="13" t="s">
        <v>18</v>
      </c>
      <c r="V9" s="13" t="s">
        <v>18</v>
      </c>
      <c r="W9" s="13" t="s">
        <v>18</v>
      </c>
      <c r="X9" s="13" t="s">
        <v>18</v>
      </c>
      <c r="Y9" s="13" t="s">
        <v>18</v>
      </c>
      <c r="Z9" s="13" t="s">
        <v>18</v>
      </c>
      <c r="AA9" s="13" t="s">
        <v>18</v>
      </c>
      <c r="AB9" s="13" t="s">
        <v>18</v>
      </c>
    </row>
    <row r="10" spans="1:28" s="1" customFormat="1" ht="30" x14ac:dyDescent="0.25">
      <c r="A10" s="7"/>
      <c r="B10" s="23" t="s">
        <v>23</v>
      </c>
      <c r="C10" s="23" t="s">
        <v>23</v>
      </c>
      <c r="D10" s="23" t="s">
        <v>23</v>
      </c>
      <c r="E10" s="23" t="s">
        <v>23</v>
      </c>
      <c r="F10" s="23" t="s">
        <v>23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21" t="s">
        <v>35</v>
      </c>
      <c r="M10" s="21" t="s">
        <v>35</v>
      </c>
      <c r="N10" s="21" t="s">
        <v>35</v>
      </c>
      <c r="O10" s="21" t="s">
        <v>35</v>
      </c>
      <c r="P10" s="21" t="s">
        <v>110</v>
      </c>
      <c r="Q10" s="21" t="s">
        <v>110</v>
      </c>
      <c r="R10" s="20" t="s">
        <v>42</v>
      </c>
      <c r="S10" s="20" t="s">
        <v>42</v>
      </c>
      <c r="T10" s="20" t="s">
        <v>42</v>
      </c>
      <c r="U10" s="20" t="s">
        <v>42</v>
      </c>
      <c r="V10" s="20" t="s">
        <v>42</v>
      </c>
      <c r="W10" s="20" t="s">
        <v>42</v>
      </c>
      <c r="X10" s="20" t="s">
        <v>42</v>
      </c>
      <c r="Y10" s="24" t="s">
        <v>50</v>
      </c>
      <c r="Z10" s="24" t="s">
        <v>50</v>
      </c>
      <c r="AA10" s="24" t="s">
        <v>131</v>
      </c>
      <c r="AB10" s="24" t="s">
        <v>131</v>
      </c>
    </row>
    <row r="11" spans="1:28" s="12" customFormat="1" ht="60" x14ac:dyDescent="0.25">
      <c r="A11" s="11"/>
      <c r="B11" s="11" t="s">
        <v>24</v>
      </c>
      <c r="C11" s="11" t="s">
        <v>61</v>
      </c>
      <c r="D11" s="11" t="s">
        <v>62</v>
      </c>
      <c r="E11" s="11" t="s">
        <v>26</v>
      </c>
      <c r="F11" s="11" t="s">
        <v>27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1" t="s">
        <v>37</v>
      </c>
      <c r="M11" s="11" t="s">
        <v>38</v>
      </c>
      <c r="N11" s="11" t="s">
        <v>65</v>
      </c>
      <c r="O11" s="11" t="s">
        <v>66</v>
      </c>
      <c r="P11" s="11" t="s">
        <v>99</v>
      </c>
      <c r="Q11" s="11" t="s">
        <v>99</v>
      </c>
      <c r="R11" s="11" t="s">
        <v>67</v>
      </c>
      <c r="S11" s="11" t="s">
        <v>68</v>
      </c>
      <c r="T11" s="11" t="s">
        <v>44</v>
      </c>
      <c r="U11" s="11" t="s">
        <v>70</v>
      </c>
      <c r="V11" s="11" t="s">
        <v>71</v>
      </c>
      <c r="W11" s="11" t="s">
        <v>48</v>
      </c>
      <c r="X11" s="11" t="s">
        <v>49</v>
      </c>
      <c r="Y11" s="11" t="s">
        <v>51</v>
      </c>
      <c r="Z11" s="11" t="s">
        <v>52</v>
      </c>
      <c r="AA11" s="11" t="s">
        <v>53</v>
      </c>
      <c r="AB11" s="11" t="s">
        <v>54</v>
      </c>
    </row>
    <row r="12" spans="1:28" s="1" customFormat="1" x14ac:dyDescent="0.25">
      <c r="A12" s="7" t="s">
        <v>76</v>
      </c>
      <c r="B12" s="7" t="s">
        <v>77</v>
      </c>
      <c r="C12" s="7" t="s">
        <v>77</v>
      </c>
      <c r="D12" s="15" t="s">
        <v>78</v>
      </c>
      <c r="E12" s="15" t="s">
        <v>78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15" t="s">
        <v>78</v>
      </c>
      <c r="L12" s="7" t="s">
        <v>77</v>
      </c>
      <c r="M12" s="7" t="s">
        <v>77</v>
      </c>
      <c r="N12" s="7" t="s">
        <v>77</v>
      </c>
      <c r="O12" s="15" t="s">
        <v>78</v>
      </c>
      <c r="P12" s="14" t="s">
        <v>77</v>
      </c>
      <c r="Q12" s="24" t="s">
        <v>282</v>
      </c>
      <c r="R12" s="7" t="s">
        <v>77</v>
      </c>
      <c r="S12" s="15" t="s">
        <v>78</v>
      </c>
      <c r="T12" s="7" t="s">
        <v>77</v>
      </c>
      <c r="U12" s="7" t="s">
        <v>77</v>
      </c>
      <c r="V12" s="15" t="s">
        <v>78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  <c r="AB12" s="7" t="s">
        <v>77</v>
      </c>
    </row>
    <row r="13" spans="1:28" s="1" customFormat="1" ht="30" x14ac:dyDescent="0.25">
      <c r="A13" s="7" t="s">
        <v>55</v>
      </c>
      <c r="B13" s="7" t="s">
        <v>58</v>
      </c>
      <c r="C13" s="7" t="s">
        <v>58</v>
      </c>
      <c r="D13" s="7" t="s">
        <v>59</v>
      </c>
      <c r="E13" s="7" t="s">
        <v>60</v>
      </c>
      <c r="F13" s="7" t="s">
        <v>63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59</v>
      </c>
      <c r="L13" s="7" t="s">
        <v>58</v>
      </c>
      <c r="M13" s="7" t="s">
        <v>64</v>
      </c>
      <c r="N13" s="7" t="s">
        <v>58</v>
      </c>
      <c r="O13" s="7" t="s">
        <v>59</v>
      </c>
      <c r="P13" s="7" t="s">
        <v>64</v>
      </c>
      <c r="Q13" s="7" t="s">
        <v>64</v>
      </c>
      <c r="R13" s="7" t="s">
        <v>69</v>
      </c>
      <c r="S13" s="7" t="s">
        <v>59</v>
      </c>
      <c r="T13" s="7" t="s">
        <v>69</v>
      </c>
      <c r="U13" s="7" t="s">
        <v>69</v>
      </c>
      <c r="V13" s="7" t="s">
        <v>59</v>
      </c>
      <c r="W13" s="7" t="s">
        <v>69</v>
      </c>
      <c r="X13" s="7" t="s">
        <v>69</v>
      </c>
      <c r="Y13" s="7" t="s">
        <v>64</v>
      </c>
      <c r="Z13" s="7" t="s">
        <v>58</v>
      </c>
      <c r="AA13" s="7" t="s">
        <v>58</v>
      </c>
      <c r="AB13" s="7" t="s">
        <v>63</v>
      </c>
    </row>
    <row r="14" spans="1:28" s="1" customFormat="1" ht="30" x14ac:dyDescent="0.25">
      <c r="A14" s="7" t="s">
        <v>56</v>
      </c>
      <c r="B14" s="7" t="s">
        <v>69</v>
      </c>
      <c r="C14" s="7" t="s">
        <v>69</v>
      </c>
      <c r="D14" s="7" t="s">
        <v>60</v>
      </c>
      <c r="E14" s="7" t="s">
        <v>72</v>
      </c>
      <c r="F14" s="7" t="s">
        <v>69</v>
      </c>
      <c r="G14" s="7" t="s">
        <v>69</v>
      </c>
      <c r="H14" s="7" t="s">
        <v>69</v>
      </c>
      <c r="I14" s="7" t="s">
        <v>69</v>
      </c>
      <c r="J14" s="7" t="s">
        <v>69</v>
      </c>
      <c r="K14" s="7" t="s">
        <v>60</v>
      </c>
      <c r="L14" s="7" t="s">
        <v>69</v>
      </c>
      <c r="M14" s="7" t="s">
        <v>69</v>
      </c>
      <c r="N14" s="7" t="s">
        <v>69</v>
      </c>
      <c r="O14" s="7" t="s">
        <v>60</v>
      </c>
      <c r="P14" s="7" t="s">
        <v>69</v>
      </c>
      <c r="Q14" s="7" t="s">
        <v>69</v>
      </c>
      <c r="R14" s="7" t="s">
        <v>73</v>
      </c>
      <c r="S14" s="7" t="s">
        <v>60</v>
      </c>
      <c r="T14" s="7" t="s">
        <v>73</v>
      </c>
      <c r="U14" s="7" t="s">
        <v>73</v>
      </c>
      <c r="V14" s="7" t="s">
        <v>60</v>
      </c>
      <c r="W14" s="7" t="s">
        <v>73</v>
      </c>
      <c r="X14" s="7" t="s">
        <v>73</v>
      </c>
      <c r="Y14" s="7" t="s">
        <v>74</v>
      </c>
      <c r="Z14" s="7" t="s">
        <v>69</v>
      </c>
      <c r="AA14" s="7" t="s">
        <v>73</v>
      </c>
      <c r="AB14" s="7" t="s">
        <v>69</v>
      </c>
    </row>
    <row r="15" spans="1:28" x14ac:dyDescent="0.25">
      <c r="A15" s="7" t="s">
        <v>75</v>
      </c>
      <c r="B15" s="5">
        <v>60</v>
      </c>
      <c r="C15" s="5">
        <v>60</v>
      </c>
      <c r="D15" s="5">
        <v>240</v>
      </c>
      <c r="E15" s="5">
        <v>210</v>
      </c>
      <c r="F15" s="5">
        <v>90</v>
      </c>
      <c r="G15" s="5">
        <v>90</v>
      </c>
      <c r="H15" s="5">
        <v>90</v>
      </c>
      <c r="I15" s="5">
        <v>90</v>
      </c>
      <c r="J15" s="5">
        <v>90</v>
      </c>
      <c r="K15" s="5">
        <v>240</v>
      </c>
      <c r="L15" s="7">
        <v>90</v>
      </c>
      <c r="M15" s="7">
        <v>60</v>
      </c>
      <c r="N15" s="7">
        <v>60</v>
      </c>
      <c r="O15" s="7">
        <v>240</v>
      </c>
      <c r="P15" s="7">
        <v>240</v>
      </c>
      <c r="Q15" s="7">
        <v>240</v>
      </c>
      <c r="R15" s="7">
        <v>60</v>
      </c>
      <c r="S15" s="7">
        <v>240</v>
      </c>
      <c r="T15" s="7">
        <v>60</v>
      </c>
      <c r="U15" s="7">
        <v>60</v>
      </c>
      <c r="V15" s="7">
        <v>240</v>
      </c>
      <c r="W15" s="7">
        <v>60</v>
      </c>
      <c r="X15" s="7">
        <v>60</v>
      </c>
      <c r="Y15" s="7">
        <v>60</v>
      </c>
      <c r="Z15" s="7">
        <v>60</v>
      </c>
      <c r="AA15" s="7">
        <v>60</v>
      </c>
      <c r="AB15" s="7">
        <v>60</v>
      </c>
    </row>
    <row r="16" spans="1:28" ht="30" x14ac:dyDescent="0.25">
      <c r="A16" s="7" t="s">
        <v>80</v>
      </c>
      <c r="B16" s="7" t="s">
        <v>72</v>
      </c>
      <c r="C16" s="7" t="s">
        <v>72</v>
      </c>
      <c r="D16" s="7" t="s">
        <v>84</v>
      </c>
      <c r="E16" s="7" t="s">
        <v>85</v>
      </c>
      <c r="F16" s="7" t="s">
        <v>72</v>
      </c>
      <c r="G16" s="7" t="s">
        <v>82</v>
      </c>
      <c r="H16" s="7" t="s">
        <v>82</v>
      </c>
      <c r="I16" s="7" t="s">
        <v>82</v>
      </c>
      <c r="J16" s="7" t="s">
        <v>82</v>
      </c>
      <c r="K16" s="7" t="s">
        <v>84</v>
      </c>
      <c r="L16" s="7" t="s">
        <v>83</v>
      </c>
      <c r="M16" s="7" t="s">
        <v>72</v>
      </c>
      <c r="N16" s="7" t="s">
        <v>72</v>
      </c>
      <c r="O16" s="7" t="s">
        <v>84</v>
      </c>
      <c r="P16" s="7" t="s">
        <v>72</v>
      </c>
      <c r="Q16" s="7" t="s">
        <v>84</v>
      </c>
      <c r="R16" s="7" t="s">
        <v>72</v>
      </c>
      <c r="S16" s="7" t="s">
        <v>84</v>
      </c>
      <c r="T16" s="7" t="s">
        <v>72</v>
      </c>
      <c r="U16" s="7" t="s">
        <v>72</v>
      </c>
      <c r="V16" s="7" t="s">
        <v>84</v>
      </c>
      <c r="W16" s="7" t="s">
        <v>72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</row>
    <row r="17" spans="1:28" x14ac:dyDescent="0.25">
      <c r="A17" s="7" t="s">
        <v>88</v>
      </c>
      <c r="B17" s="7">
        <v>45</v>
      </c>
      <c r="C17" s="7">
        <v>45</v>
      </c>
      <c r="D17" s="7">
        <v>45</v>
      </c>
      <c r="E17" s="7">
        <v>180</v>
      </c>
      <c r="F17" s="7">
        <v>100</v>
      </c>
      <c r="G17" s="7">
        <v>180</v>
      </c>
      <c r="H17" s="7">
        <v>125</v>
      </c>
      <c r="I17" s="7">
        <v>150</v>
      </c>
      <c r="J17" s="7">
        <v>100</v>
      </c>
      <c r="K17" s="7">
        <v>100</v>
      </c>
      <c r="L17" s="7">
        <v>20</v>
      </c>
      <c r="M17" s="7">
        <v>35</v>
      </c>
      <c r="N17" s="7">
        <v>30</v>
      </c>
      <c r="O17" s="7">
        <v>30</v>
      </c>
      <c r="P17" s="7">
        <v>25</v>
      </c>
      <c r="Q17" s="7">
        <v>25</v>
      </c>
      <c r="R17" s="7">
        <v>15</v>
      </c>
      <c r="S17" s="7">
        <v>15</v>
      </c>
      <c r="T17" s="7">
        <v>15</v>
      </c>
      <c r="U17" s="7">
        <v>15</v>
      </c>
      <c r="V17" s="7">
        <v>15</v>
      </c>
      <c r="W17" s="7">
        <v>25</v>
      </c>
      <c r="X17" s="7">
        <v>20</v>
      </c>
      <c r="Y17" s="7">
        <v>10</v>
      </c>
      <c r="Z17" s="7">
        <v>60</v>
      </c>
      <c r="AA17" s="7">
        <v>10</v>
      </c>
      <c r="AB17" s="7">
        <v>25</v>
      </c>
    </row>
    <row r="18" spans="1:28" x14ac:dyDescent="0.25">
      <c r="A18" s="22" t="s">
        <v>86</v>
      </c>
      <c r="B18" s="5">
        <v>30</v>
      </c>
      <c r="C18" s="5">
        <v>30</v>
      </c>
      <c r="D18" s="5">
        <v>40</v>
      </c>
      <c r="E18" s="5">
        <v>50</v>
      </c>
      <c r="F18" s="5">
        <v>30</v>
      </c>
      <c r="G18" s="5">
        <v>35</v>
      </c>
      <c r="H18" s="5">
        <v>30</v>
      </c>
      <c r="I18" s="5">
        <v>35</v>
      </c>
      <c r="J18" s="5">
        <v>30</v>
      </c>
      <c r="K18" s="5">
        <v>30</v>
      </c>
      <c r="L18" s="5">
        <v>15</v>
      </c>
      <c r="M18" s="5">
        <v>15</v>
      </c>
      <c r="N18" s="5">
        <v>20</v>
      </c>
      <c r="O18" s="5">
        <v>30</v>
      </c>
      <c r="P18" s="5">
        <f>150*0.16</f>
        <v>24</v>
      </c>
      <c r="Q18" s="5">
        <f>150*0.16</f>
        <v>24</v>
      </c>
      <c r="R18" s="5">
        <v>35</v>
      </c>
      <c r="S18" s="5">
        <v>40</v>
      </c>
      <c r="T18" s="5">
        <v>35</v>
      </c>
      <c r="U18" s="5">
        <v>30</v>
      </c>
      <c r="V18" s="5">
        <v>40</v>
      </c>
      <c r="W18" s="5">
        <v>35</v>
      </c>
      <c r="X18" s="5">
        <v>25</v>
      </c>
      <c r="Y18" s="5">
        <v>25</v>
      </c>
      <c r="Z18" s="5">
        <v>25</v>
      </c>
      <c r="AA18" s="5">
        <v>25</v>
      </c>
      <c r="AB18" s="5">
        <v>40</v>
      </c>
    </row>
    <row r="19" spans="1:28" x14ac:dyDescent="0.25">
      <c r="A19" s="22" t="s">
        <v>87</v>
      </c>
      <c r="B19" s="5">
        <v>45</v>
      </c>
      <c r="C19" s="5">
        <v>40</v>
      </c>
      <c r="D19" s="5">
        <v>60</v>
      </c>
      <c r="E19" s="5">
        <v>70</v>
      </c>
      <c r="F19" s="5">
        <v>40</v>
      </c>
      <c r="G19" s="7">
        <v>45</v>
      </c>
      <c r="H19" s="7">
        <v>40</v>
      </c>
      <c r="I19" s="7">
        <v>45</v>
      </c>
      <c r="J19" s="7">
        <v>40</v>
      </c>
      <c r="K19" s="7">
        <v>40</v>
      </c>
      <c r="L19" s="7">
        <v>30</v>
      </c>
      <c r="M19" s="7">
        <v>35</v>
      </c>
      <c r="N19" s="7">
        <v>30</v>
      </c>
      <c r="O19" s="7">
        <v>45</v>
      </c>
      <c r="P19" s="5">
        <f>250*0.16</f>
        <v>40</v>
      </c>
      <c r="Q19" s="5">
        <f>250*0.16</f>
        <v>40</v>
      </c>
      <c r="R19" s="7">
        <v>45</v>
      </c>
      <c r="S19" s="7">
        <v>60</v>
      </c>
      <c r="T19" s="7">
        <v>50</v>
      </c>
      <c r="U19" s="7">
        <v>50</v>
      </c>
      <c r="V19" s="7">
        <v>60</v>
      </c>
      <c r="W19" s="7">
        <v>50</v>
      </c>
      <c r="X19" s="7">
        <v>40</v>
      </c>
      <c r="Y19" s="7">
        <v>50</v>
      </c>
      <c r="Z19" s="7">
        <v>40</v>
      </c>
      <c r="AA19" s="7">
        <v>35</v>
      </c>
      <c r="AB19" s="7">
        <v>70</v>
      </c>
    </row>
    <row r="20" spans="1:28" x14ac:dyDescent="0.25">
      <c r="A20" s="7" t="s">
        <v>89</v>
      </c>
      <c r="B20" s="16">
        <f>3.2*B17</f>
        <v>144</v>
      </c>
      <c r="C20" s="16">
        <f>3.5*C17</f>
        <v>157.5</v>
      </c>
      <c r="D20" s="16">
        <f>3.5*D17</f>
        <v>157.5</v>
      </c>
      <c r="E20" s="16">
        <f>0.99*E17</f>
        <v>178.2</v>
      </c>
      <c r="F20" s="16">
        <f>1.9*F17</f>
        <v>190</v>
      </c>
      <c r="G20" s="16">
        <f>1.3*G17</f>
        <v>234</v>
      </c>
      <c r="H20" s="16">
        <f>1.45*H17</f>
        <v>181.25</v>
      </c>
      <c r="I20" s="16">
        <f>1.31*I17</f>
        <v>196.5</v>
      </c>
      <c r="J20" s="16">
        <f>2.15*J17</f>
        <v>215</v>
      </c>
      <c r="K20" s="16">
        <f>2.87*K17</f>
        <v>287</v>
      </c>
      <c r="L20" s="16">
        <f>4.5*L17</f>
        <v>90</v>
      </c>
      <c r="M20" s="16">
        <f>3.2*M17</f>
        <v>112</v>
      </c>
      <c r="N20" s="16">
        <f>3.5*N17</f>
        <v>105</v>
      </c>
      <c r="O20" s="16">
        <f>3.5*O17</f>
        <v>105</v>
      </c>
      <c r="P20" s="5">
        <f>P21*P17</f>
        <v>182</v>
      </c>
      <c r="Q20" s="5">
        <f>Q21*Q17</f>
        <v>182</v>
      </c>
      <c r="R20" s="16">
        <f>2.85*R17</f>
        <v>42.75</v>
      </c>
      <c r="S20" s="16">
        <f t="shared" ref="S20:T20" si="0">2.85*S17</f>
        <v>42.75</v>
      </c>
      <c r="T20" s="16">
        <f t="shared" si="0"/>
        <v>42.75</v>
      </c>
      <c r="U20" s="16">
        <f>3*U17</f>
        <v>45</v>
      </c>
      <c r="V20" s="16">
        <f>3*V17</f>
        <v>45</v>
      </c>
      <c r="W20" s="16">
        <f>5.08*W17</f>
        <v>127</v>
      </c>
      <c r="X20" s="16">
        <f>3.22*X17</f>
        <v>64.400000000000006</v>
      </c>
      <c r="Y20" s="78">
        <f>57/20*Y17*1.5</f>
        <v>42.75</v>
      </c>
      <c r="Z20" s="16">
        <f>2.3*Z17</f>
        <v>138</v>
      </c>
      <c r="AA20" s="16">
        <f>3.3*AA17</f>
        <v>33</v>
      </c>
      <c r="AB20" s="16">
        <f>57/20*AB17*1.5</f>
        <v>106.875</v>
      </c>
    </row>
    <row r="21" spans="1:28" x14ac:dyDescent="0.25">
      <c r="A21" s="7" t="s">
        <v>94</v>
      </c>
      <c r="B21" s="17">
        <v>3.71</v>
      </c>
      <c r="C21" s="17">
        <f>C22</f>
        <v>3.5</v>
      </c>
      <c r="D21" s="17">
        <f>D22</f>
        <v>3.5</v>
      </c>
      <c r="E21" s="17">
        <v>1.2</v>
      </c>
      <c r="F21" s="17">
        <v>2</v>
      </c>
      <c r="G21" s="17">
        <v>1.35</v>
      </c>
      <c r="H21" s="17">
        <v>1.55</v>
      </c>
      <c r="I21" s="17">
        <v>1.41</v>
      </c>
      <c r="J21" s="17">
        <v>2.2999999999999998</v>
      </c>
      <c r="K21" s="17">
        <v>3.02</v>
      </c>
      <c r="L21" s="17">
        <v>5.5</v>
      </c>
      <c r="M21" s="17">
        <v>4.3</v>
      </c>
      <c r="N21" s="17">
        <v>3.9</v>
      </c>
      <c r="O21" s="17">
        <v>3.9</v>
      </c>
      <c r="P21" s="17">
        <v>7.28</v>
      </c>
      <c r="Q21" s="17">
        <v>7.28</v>
      </c>
      <c r="R21" s="17">
        <v>2.85</v>
      </c>
      <c r="S21" s="17">
        <v>2.85</v>
      </c>
      <c r="T21" s="17">
        <v>2.85</v>
      </c>
      <c r="U21" s="17">
        <v>3.1</v>
      </c>
      <c r="V21" s="17">
        <v>3.1</v>
      </c>
      <c r="W21" s="17">
        <v>3.75</v>
      </c>
      <c r="X21" s="17">
        <v>3.64</v>
      </c>
      <c r="Y21" s="79">
        <v>5.8</v>
      </c>
      <c r="Z21" s="17">
        <v>2.1</v>
      </c>
      <c r="AA21" s="17">
        <v>3.5</v>
      </c>
      <c r="AB21" s="17">
        <f>AB22*1.1</f>
        <v>4.7025000000000006</v>
      </c>
    </row>
    <row r="22" spans="1:28" x14ac:dyDescent="0.25">
      <c r="A22" s="7" t="s">
        <v>93</v>
      </c>
      <c r="B22" s="17">
        <f t="shared" ref="B22:AB22" si="1">B20/B17</f>
        <v>3.2</v>
      </c>
      <c r="C22" s="17">
        <f t="shared" si="1"/>
        <v>3.5</v>
      </c>
      <c r="D22" s="17">
        <f t="shared" si="1"/>
        <v>3.5</v>
      </c>
      <c r="E22" s="17">
        <f t="shared" si="1"/>
        <v>0.99</v>
      </c>
      <c r="F22" s="17">
        <f t="shared" si="1"/>
        <v>1.9</v>
      </c>
      <c r="G22" s="17">
        <f t="shared" si="1"/>
        <v>1.3</v>
      </c>
      <c r="H22" s="17">
        <f t="shared" si="1"/>
        <v>1.45</v>
      </c>
      <c r="I22" s="17">
        <f t="shared" si="1"/>
        <v>1.31</v>
      </c>
      <c r="J22" s="17">
        <f t="shared" si="1"/>
        <v>2.15</v>
      </c>
      <c r="K22" s="17">
        <f t="shared" si="1"/>
        <v>2.87</v>
      </c>
      <c r="L22" s="17">
        <f t="shared" si="1"/>
        <v>4.5</v>
      </c>
      <c r="M22" s="17">
        <f t="shared" si="1"/>
        <v>3.2</v>
      </c>
      <c r="N22" s="17">
        <f t="shared" si="1"/>
        <v>3.5</v>
      </c>
      <c r="O22" s="17">
        <f t="shared" si="1"/>
        <v>3.5</v>
      </c>
      <c r="P22" s="17">
        <f>P21/1.1</f>
        <v>6.6181818181818182</v>
      </c>
      <c r="Q22" s="17">
        <f>Q21/1.1</f>
        <v>6.6181818181818182</v>
      </c>
      <c r="R22" s="17">
        <f t="shared" si="1"/>
        <v>2.85</v>
      </c>
      <c r="S22" s="17">
        <f t="shared" si="1"/>
        <v>2.85</v>
      </c>
      <c r="T22" s="17">
        <f t="shared" si="1"/>
        <v>2.85</v>
      </c>
      <c r="U22" s="17">
        <f t="shared" si="1"/>
        <v>3</v>
      </c>
      <c r="V22" s="17">
        <f t="shared" si="1"/>
        <v>3</v>
      </c>
      <c r="W22" s="17">
        <f t="shared" si="1"/>
        <v>5.08</v>
      </c>
      <c r="X22" s="17">
        <f t="shared" si="1"/>
        <v>3.22</v>
      </c>
      <c r="Y22" s="17">
        <f t="shared" si="1"/>
        <v>4.2750000000000004</v>
      </c>
      <c r="Z22" s="17">
        <f t="shared" si="1"/>
        <v>2.2999999999999998</v>
      </c>
      <c r="AA22" s="17">
        <f t="shared" si="1"/>
        <v>3.3</v>
      </c>
      <c r="AB22" s="17">
        <f t="shared" si="1"/>
        <v>4.2750000000000004</v>
      </c>
    </row>
    <row r="23" spans="1:28" x14ac:dyDescent="0.25">
      <c r="A23" s="7" t="s">
        <v>91</v>
      </c>
      <c r="B23" s="5" t="s">
        <v>315</v>
      </c>
      <c r="C23" s="5" t="s">
        <v>315</v>
      </c>
      <c r="D23" s="5" t="s">
        <v>315</v>
      </c>
      <c r="E23" s="5" t="s">
        <v>92</v>
      </c>
      <c r="F23" s="5" t="s">
        <v>315</v>
      </c>
      <c r="G23" s="5" t="s">
        <v>315</v>
      </c>
      <c r="H23" s="5" t="s">
        <v>92</v>
      </c>
      <c r="I23" s="5" t="s">
        <v>92</v>
      </c>
      <c r="J23" s="5" t="s">
        <v>315</v>
      </c>
      <c r="K23" s="5" t="s">
        <v>92</v>
      </c>
      <c r="L23" s="5" t="s">
        <v>315</v>
      </c>
      <c r="M23" s="5" t="s">
        <v>315</v>
      </c>
      <c r="N23" s="5" t="s">
        <v>315</v>
      </c>
      <c r="O23" s="5" t="s">
        <v>315</v>
      </c>
      <c r="P23" s="5" t="s">
        <v>92</v>
      </c>
      <c r="Q23" s="5" t="s">
        <v>92</v>
      </c>
      <c r="R23" s="5" t="s">
        <v>92</v>
      </c>
      <c r="S23" s="5" t="s">
        <v>92</v>
      </c>
      <c r="T23" s="5" t="s">
        <v>92</v>
      </c>
      <c r="U23" s="5" t="s">
        <v>92</v>
      </c>
      <c r="V23" s="5" t="s">
        <v>92</v>
      </c>
      <c r="W23" s="5" t="s">
        <v>92</v>
      </c>
      <c r="X23" s="5" t="s">
        <v>92</v>
      </c>
      <c r="Y23" s="5" t="s">
        <v>315</v>
      </c>
      <c r="Z23" s="5" t="s">
        <v>92</v>
      </c>
      <c r="AA23" s="5" t="s">
        <v>92</v>
      </c>
      <c r="AB23" s="5" t="s">
        <v>92</v>
      </c>
    </row>
    <row r="24" spans="1:28" s="1" customFormat="1" x14ac:dyDescent="0.25">
      <c r="A24" s="7" t="s">
        <v>97</v>
      </c>
      <c r="B24" s="7" t="s">
        <v>130</v>
      </c>
      <c r="C24" s="7" t="s">
        <v>130</v>
      </c>
      <c r="D24" s="7" t="s">
        <v>130</v>
      </c>
      <c r="E24" s="7" t="s">
        <v>101</v>
      </c>
      <c r="F24" s="7" t="s">
        <v>101</v>
      </c>
      <c r="G24" s="7" t="s">
        <v>130</v>
      </c>
      <c r="H24" s="7" t="s">
        <v>130</v>
      </c>
      <c r="I24" s="7" t="s">
        <v>132</v>
      </c>
      <c r="J24" s="7" t="s">
        <v>133</v>
      </c>
      <c r="K24" s="7" t="s">
        <v>98</v>
      </c>
      <c r="L24" s="7" t="s">
        <v>101</v>
      </c>
      <c r="M24" s="7" t="s">
        <v>133</v>
      </c>
      <c r="N24" s="7" t="s">
        <v>133</v>
      </c>
      <c r="O24" s="7" t="s">
        <v>133</v>
      </c>
      <c r="P24" s="7" t="s">
        <v>130</v>
      </c>
      <c r="Q24" s="7" t="s">
        <v>130</v>
      </c>
      <c r="R24" s="7" t="s">
        <v>101</v>
      </c>
      <c r="S24" s="7" t="s">
        <v>101</v>
      </c>
      <c r="T24" s="7" t="s">
        <v>101</v>
      </c>
      <c r="U24" s="7" t="s">
        <v>101</v>
      </c>
      <c r="V24" s="7" t="s">
        <v>101</v>
      </c>
      <c r="W24" s="7" t="s">
        <v>101</v>
      </c>
      <c r="X24" s="7" t="s">
        <v>115</v>
      </c>
      <c r="Y24" s="7" t="s">
        <v>100</v>
      </c>
      <c r="Z24" s="7" t="s">
        <v>98</v>
      </c>
      <c r="AA24" s="7" t="s">
        <v>101</v>
      </c>
      <c r="AB24" s="7" t="s">
        <v>101</v>
      </c>
    </row>
    <row r="25" spans="1:28" x14ac:dyDescent="0.25">
      <c r="A25" s="7" t="s">
        <v>95</v>
      </c>
      <c r="B25" s="5" t="s">
        <v>96</v>
      </c>
      <c r="C25" s="5" t="s">
        <v>96</v>
      </c>
      <c r="D25" s="5" t="s">
        <v>96</v>
      </c>
      <c r="E25" s="5" t="s">
        <v>101</v>
      </c>
      <c r="F25" s="5" t="s">
        <v>101</v>
      </c>
      <c r="G25" s="5" t="s">
        <v>96</v>
      </c>
      <c r="H25" s="5" t="s">
        <v>96</v>
      </c>
      <c r="I25" s="5" t="s">
        <v>96</v>
      </c>
      <c r="J25" s="5" t="s">
        <v>101</v>
      </c>
      <c r="K25" s="5" t="s">
        <v>98</v>
      </c>
      <c r="L25" s="5" t="s">
        <v>96</v>
      </c>
      <c r="M25" s="7" t="s">
        <v>96</v>
      </c>
      <c r="N25" s="5" t="s">
        <v>96</v>
      </c>
      <c r="O25" s="5" t="s">
        <v>96</v>
      </c>
      <c r="P25" s="5" t="s">
        <v>100</v>
      </c>
      <c r="Q25" s="5" t="s">
        <v>100</v>
      </c>
      <c r="R25" s="5" t="s">
        <v>101</v>
      </c>
      <c r="S25" s="5" t="s">
        <v>101</v>
      </c>
      <c r="T25" s="5" t="s">
        <v>101</v>
      </c>
      <c r="U25" s="5" t="s">
        <v>101</v>
      </c>
      <c r="V25" s="5" t="s">
        <v>101</v>
      </c>
      <c r="W25" s="5" t="s">
        <v>101</v>
      </c>
      <c r="X25" s="5" t="s">
        <v>101</v>
      </c>
      <c r="Y25" s="7" t="s">
        <v>100</v>
      </c>
      <c r="Z25" s="5" t="s">
        <v>101</v>
      </c>
      <c r="AA25" s="5" t="s">
        <v>101</v>
      </c>
      <c r="AB25" s="5" t="s">
        <v>96</v>
      </c>
    </row>
    <row r="26" spans="1:28" x14ac:dyDescent="0.25">
      <c r="A26" s="7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7">
        <f>0.38/0.18</f>
        <v>2.1111111111111112</v>
      </c>
      <c r="H26" s="17">
        <f>0.38/0.18</f>
        <v>2.1111111111111112</v>
      </c>
      <c r="I26" s="17">
        <f>0.38/0.18</f>
        <v>2.1111111111111112</v>
      </c>
      <c r="J26" s="17">
        <f>0.43/0.18</f>
        <v>2.3888888888888888</v>
      </c>
      <c r="K26" s="17">
        <f>0.43/0.18</f>
        <v>2.3888888888888888</v>
      </c>
      <c r="L26" s="17">
        <f>1.14/0.35</f>
        <v>3.2571428571428571</v>
      </c>
      <c r="M26" s="17">
        <f t="shared" ref="M26:Q26" si="2">1.14/0.35</f>
        <v>3.2571428571428571</v>
      </c>
      <c r="N26" s="17">
        <f t="shared" si="2"/>
        <v>3.2571428571428571</v>
      </c>
      <c r="O26" s="17">
        <f t="shared" si="2"/>
        <v>3.2571428571428571</v>
      </c>
      <c r="P26" s="17">
        <f>1.14/0.35</f>
        <v>3.2571428571428571</v>
      </c>
      <c r="Q26" s="17">
        <f t="shared" si="2"/>
        <v>3.2571428571428571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5">
      <c r="A27" s="18" t="s">
        <v>135</v>
      </c>
      <c r="B27" s="5" t="s">
        <v>114</v>
      </c>
      <c r="C27" s="5" t="s">
        <v>114</v>
      </c>
      <c r="D27" s="5" t="s">
        <v>114</v>
      </c>
      <c r="E27" s="5" t="s">
        <v>115</v>
      </c>
      <c r="F27" s="5" t="s">
        <v>114</v>
      </c>
      <c r="G27" s="5" t="s">
        <v>136</v>
      </c>
      <c r="H27" s="5" t="s">
        <v>115</v>
      </c>
      <c r="I27" s="5" t="s">
        <v>115</v>
      </c>
      <c r="J27" s="5" t="s">
        <v>115</v>
      </c>
      <c r="K27" s="5" t="s">
        <v>115</v>
      </c>
      <c r="L27" s="5" t="s">
        <v>136</v>
      </c>
      <c r="M27" s="5" t="s">
        <v>136</v>
      </c>
      <c r="N27" s="5" t="s">
        <v>115</v>
      </c>
      <c r="O27" s="5" t="s">
        <v>115</v>
      </c>
      <c r="P27" s="5" t="s">
        <v>115</v>
      </c>
      <c r="Q27" s="5" t="s">
        <v>115</v>
      </c>
      <c r="R27" s="5" t="s">
        <v>136</v>
      </c>
      <c r="S27" s="5" t="s">
        <v>136</v>
      </c>
      <c r="T27" s="5" t="s">
        <v>136</v>
      </c>
      <c r="U27" s="5" t="s">
        <v>136</v>
      </c>
      <c r="V27" s="5" t="s">
        <v>136</v>
      </c>
      <c r="W27" s="5" t="s">
        <v>115</v>
      </c>
      <c r="X27" s="5" t="s">
        <v>114</v>
      </c>
      <c r="Y27" s="5" t="s">
        <v>114</v>
      </c>
      <c r="Z27" s="5" t="s">
        <v>136</v>
      </c>
      <c r="AA27" s="5" t="s">
        <v>136</v>
      </c>
      <c r="AB27" s="5" t="s">
        <v>136</v>
      </c>
    </row>
    <row r="28" spans="1:28" x14ac:dyDescent="0.25">
      <c r="A28" s="11" t="s">
        <v>286</v>
      </c>
      <c r="B28" s="17">
        <f>0.53/0.35</f>
        <v>1.5142857142857145</v>
      </c>
      <c r="C28" s="17">
        <f t="shared" ref="C28:D28" si="3">0.53/0.35</f>
        <v>1.5142857142857145</v>
      </c>
      <c r="D28" s="17">
        <f t="shared" si="3"/>
        <v>1.5142857142857145</v>
      </c>
      <c r="E28" s="17">
        <f>1.3/0.86</f>
        <v>1.5116279069767442</v>
      </c>
      <c r="F28" s="17">
        <f>1.82/0.86</f>
        <v>2.1162790697674421</v>
      </c>
      <c r="G28" s="17">
        <f>0.48/0.18-G26</f>
        <v>0.55555555555555536</v>
      </c>
      <c r="H28" s="17">
        <f>0.48/0.18-H26</f>
        <v>0.55555555555555536</v>
      </c>
      <c r="I28" s="17">
        <f>0.5/0.18-I26</f>
        <v>0.66666666666666652</v>
      </c>
      <c r="J28" s="17">
        <f>0.48/0.18-J26</f>
        <v>0.27777777777777768</v>
      </c>
      <c r="K28" s="17">
        <f>0.48/0.18-K26</f>
        <v>0.27777777777777768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f>0.45/0.2</f>
        <v>2.25</v>
      </c>
      <c r="S28" s="17">
        <f t="shared" ref="S28:V28" si="4">0.45/0.2</f>
        <v>2.25</v>
      </c>
      <c r="T28" s="17">
        <f t="shared" si="4"/>
        <v>2.25</v>
      </c>
      <c r="U28" s="17">
        <f t="shared" si="4"/>
        <v>2.25</v>
      </c>
      <c r="V28" s="17">
        <f t="shared" si="4"/>
        <v>2.25</v>
      </c>
      <c r="W28" s="17">
        <f>0.37/0.15</f>
        <v>2.4666666666666668</v>
      </c>
      <c r="X28" s="17">
        <f>0.45/0.2</f>
        <v>2.25</v>
      </c>
      <c r="Y28" s="17">
        <f>0.37/0.15</f>
        <v>2.4666666666666668</v>
      </c>
      <c r="Z28" s="17">
        <f>3.03/0.86</f>
        <v>3.5232558139534884</v>
      </c>
      <c r="AA28" s="17">
        <f>0.37/0.15</f>
        <v>2.4666666666666668</v>
      </c>
      <c r="AB28" s="17">
        <f>0.42/0.13</f>
        <v>3.2307692307692304</v>
      </c>
    </row>
    <row r="29" spans="1:28" x14ac:dyDescent="0.25">
      <c r="A29" s="7" t="s">
        <v>284</v>
      </c>
      <c r="B29" s="16">
        <f t="shared" ref="B29:K29" si="5">B28*B18</f>
        <v>45.428571428571431</v>
      </c>
      <c r="C29" s="16">
        <f t="shared" si="5"/>
        <v>45.428571428571431</v>
      </c>
      <c r="D29" s="16">
        <f t="shared" si="5"/>
        <v>60.571428571428577</v>
      </c>
      <c r="E29" s="16">
        <f t="shared" si="5"/>
        <v>75.581395348837205</v>
      </c>
      <c r="F29" s="16">
        <f t="shared" si="5"/>
        <v>63.488372093023258</v>
      </c>
      <c r="G29" s="16">
        <f t="shared" si="5"/>
        <v>19.444444444444436</v>
      </c>
      <c r="H29" s="16">
        <f t="shared" si="5"/>
        <v>16.666666666666661</v>
      </c>
      <c r="I29" s="16">
        <f t="shared" si="5"/>
        <v>23.333333333333329</v>
      </c>
      <c r="J29" s="16">
        <f t="shared" si="5"/>
        <v>8.3333333333333304</v>
      </c>
      <c r="K29" s="16">
        <f t="shared" si="5"/>
        <v>8.3333333333333304</v>
      </c>
      <c r="L29" s="16">
        <v>0</v>
      </c>
      <c r="M29" s="16">
        <f t="shared" ref="M29:AB29" si="6">M28*M18</f>
        <v>0</v>
      </c>
      <c r="N29" s="16">
        <f t="shared" si="6"/>
        <v>0</v>
      </c>
      <c r="O29" s="16">
        <f t="shared" si="6"/>
        <v>0</v>
      </c>
      <c r="P29" s="16">
        <f t="shared" si="6"/>
        <v>0</v>
      </c>
      <c r="Q29" s="16">
        <f t="shared" si="6"/>
        <v>0</v>
      </c>
      <c r="R29" s="16">
        <f t="shared" si="6"/>
        <v>78.75</v>
      </c>
      <c r="S29" s="16">
        <f t="shared" si="6"/>
        <v>90</v>
      </c>
      <c r="T29" s="16">
        <f t="shared" si="6"/>
        <v>78.75</v>
      </c>
      <c r="U29" s="16">
        <f t="shared" si="6"/>
        <v>67.5</v>
      </c>
      <c r="V29" s="16">
        <f t="shared" si="6"/>
        <v>90</v>
      </c>
      <c r="W29" s="16">
        <f t="shared" si="6"/>
        <v>86.333333333333343</v>
      </c>
      <c r="X29" s="16">
        <f t="shared" si="6"/>
        <v>56.25</v>
      </c>
      <c r="Y29" s="16">
        <f t="shared" si="6"/>
        <v>61.666666666666671</v>
      </c>
      <c r="Z29" s="16">
        <f t="shared" si="6"/>
        <v>88.081395348837205</v>
      </c>
      <c r="AA29" s="16">
        <f t="shared" si="6"/>
        <v>61.666666666666671</v>
      </c>
      <c r="AB29" s="16">
        <f t="shared" si="6"/>
        <v>129.23076923076923</v>
      </c>
    </row>
    <row r="30" spans="1:28" x14ac:dyDescent="0.25">
      <c r="A30" s="7" t="s">
        <v>285</v>
      </c>
      <c r="B30" s="16">
        <f t="shared" ref="B30:K30" si="7">B28*B19</f>
        <v>68.142857142857153</v>
      </c>
      <c r="C30" s="16">
        <f t="shared" si="7"/>
        <v>60.571428571428577</v>
      </c>
      <c r="D30" s="16">
        <f t="shared" si="7"/>
        <v>90.857142857142861</v>
      </c>
      <c r="E30" s="16">
        <f t="shared" si="7"/>
        <v>105.81395348837209</v>
      </c>
      <c r="F30" s="16">
        <f t="shared" si="7"/>
        <v>84.651162790697683</v>
      </c>
      <c r="G30" s="16">
        <f t="shared" si="7"/>
        <v>24.999999999999993</v>
      </c>
      <c r="H30" s="16">
        <f t="shared" si="7"/>
        <v>22.222222222222214</v>
      </c>
      <c r="I30" s="16">
        <f t="shared" si="7"/>
        <v>29.999999999999993</v>
      </c>
      <c r="J30" s="16">
        <f t="shared" si="7"/>
        <v>11.111111111111107</v>
      </c>
      <c r="K30" s="16">
        <f t="shared" si="7"/>
        <v>11.111111111111107</v>
      </c>
      <c r="L30" s="16">
        <v>0</v>
      </c>
      <c r="M30" s="16">
        <f t="shared" ref="M30:AB30" si="8">M28*M19</f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101.25</v>
      </c>
      <c r="S30" s="16">
        <f t="shared" si="8"/>
        <v>135</v>
      </c>
      <c r="T30" s="16">
        <f t="shared" si="8"/>
        <v>112.5</v>
      </c>
      <c r="U30" s="16">
        <f t="shared" si="8"/>
        <v>112.5</v>
      </c>
      <c r="V30" s="16">
        <f t="shared" si="8"/>
        <v>135</v>
      </c>
      <c r="W30" s="16">
        <f t="shared" si="8"/>
        <v>123.33333333333334</v>
      </c>
      <c r="X30" s="16">
        <f t="shared" si="8"/>
        <v>90</v>
      </c>
      <c r="Y30" s="16">
        <f t="shared" si="8"/>
        <v>123.33333333333334</v>
      </c>
      <c r="Z30" s="16">
        <f t="shared" si="8"/>
        <v>140.93023255813955</v>
      </c>
      <c r="AA30" s="16">
        <f t="shared" si="8"/>
        <v>86.333333333333343</v>
      </c>
      <c r="AB30" s="16">
        <f t="shared" si="8"/>
        <v>226.15384615384613</v>
      </c>
    </row>
    <row r="31" spans="1:28" x14ac:dyDescent="0.25">
      <c r="A31" s="18" t="s">
        <v>302</v>
      </c>
      <c r="B31">
        <v>65</v>
      </c>
      <c r="C31">
        <v>65</v>
      </c>
      <c r="D31">
        <v>65</v>
      </c>
      <c r="E31">
        <v>65</v>
      </c>
      <c r="F31">
        <v>65</v>
      </c>
      <c r="G31">
        <v>65</v>
      </c>
      <c r="H31">
        <v>65</v>
      </c>
      <c r="I31">
        <v>65</v>
      </c>
      <c r="J31">
        <v>65</v>
      </c>
      <c r="K31">
        <v>65</v>
      </c>
      <c r="L31">
        <v>65</v>
      </c>
      <c r="M31">
        <v>65</v>
      </c>
      <c r="N31">
        <v>65</v>
      </c>
      <c r="O31">
        <v>65</v>
      </c>
      <c r="P31">
        <v>65</v>
      </c>
      <c r="Q31">
        <v>65</v>
      </c>
      <c r="R31">
        <v>65</v>
      </c>
      <c r="S31">
        <v>65</v>
      </c>
      <c r="T31">
        <v>65</v>
      </c>
      <c r="U31">
        <v>65</v>
      </c>
      <c r="V31">
        <v>65</v>
      </c>
      <c r="W31">
        <v>65</v>
      </c>
      <c r="X31">
        <v>65</v>
      </c>
      <c r="Y31">
        <v>65</v>
      </c>
      <c r="Z31">
        <v>65</v>
      </c>
      <c r="AA31">
        <v>65</v>
      </c>
      <c r="AB31">
        <v>65</v>
      </c>
    </row>
  </sheetData>
  <mergeCells count="1">
    <mergeCell ref="B2:F2"/>
  </mergeCells>
  <phoneticPr fontId="5" type="noConversion"/>
  <conditionalFormatting sqref="R12:AB12 B12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" r:id="rId1" xr:uid="{036DEA5B-9260-484E-8A9E-A7F08E693C72}"/>
  </hyperlink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58A0-9E77-4FF3-987A-D5BEFCF7C60A}">
  <sheetPr codeName="Tabelle6"/>
  <dimension ref="A1:N40"/>
  <sheetViews>
    <sheetView workbookViewId="0">
      <selection activeCell="G34" sqref="G34"/>
    </sheetView>
  </sheetViews>
  <sheetFormatPr baseColWidth="10" defaultRowHeight="15" x14ac:dyDescent="0.25"/>
  <cols>
    <col min="1" max="1" width="31.5703125" customWidth="1"/>
    <col min="2" max="2" width="12.7109375" bestFit="1" customWidth="1"/>
    <col min="3" max="3" width="17" customWidth="1"/>
    <col min="7" max="7" width="27.140625" customWidth="1"/>
    <col min="8" max="8" width="14" customWidth="1"/>
    <col min="11" max="11" width="51.28515625" bestFit="1" customWidth="1"/>
    <col min="13" max="13" width="20.7109375" bestFit="1" customWidth="1"/>
    <col min="14" max="14" width="16.42578125" customWidth="1"/>
  </cols>
  <sheetData>
    <row r="1" spans="1:14" x14ac:dyDescent="0.25">
      <c r="A1" s="2" t="s">
        <v>103</v>
      </c>
    </row>
    <row r="4" spans="1:14" x14ac:dyDescent="0.25">
      <c r="A4" t="s">
        <v>106</v>
      </c>
      <c r="C4" t="s">
        <v>127</v>
      </c>
      <c r="G4" s="2" t="s">
        <v>113</v>
      </c>
      <c r="H4" s="2"/>
      <c r="I4" s="2"/>
      <c r="K4" s="2" t="s">
        <v>139</v>
      </c>
      <c r="N4" s="2" t="s">
        <v>147</v>
      </c>
    </row>
    <row r="5" spans="1:14" x14ac:dyDescent="0.25">
      <c r="A5" t="s">
        <v>111</v>
      </c>
      <c r="B5" t="s">
        <v>114</v>
      </c>
      <c r="C5" s="19">
        <v>-0.2</v>
      </c>
      <c r="G5" t="s">
        <v>137</v>
      </c>
      <c r="H5" t="s">
        <v>138</v>
      </c>
      <c r="I5" t="s">
        <v>2</v>
      </c>
      <c r="K5" t="s">
        <v>140</v>
      </c>
      <c r="L5">
        <v>46.7</v>
      </c>
    </row>
    <row r="6" spans="1:14" x14ac:dyDescent="0.25">
      <c r="A6" t="s">
        <v>111</v>
      </c>
      <c r="B6" t="s">
        <v>115</v>
      </c>
      <c r="C6" s="19">
        <v>0</v>
      </c>
      <c r="G6" t="s">
        <v>143</v>
      </c>
      <c r="H6">
        <v>0</v>
      </c>
      <c r="I6">
        <v>18.5</v>
      </c>
      <c r="K6" t="s">
        <v>141</v>
      </c>
      <c r="L6">
        <f>L5*1.14</f>
        <v>53.238</v>
      </c>
    </row>
    <row r="7" spans="1:14" x14ac:dyDescent="0.25">
      <c r="A7" t="s">
        <v>111</v>
      </c>
      <c r="B7" t="s">
        <v>116</v>
      </c>
      <c r="C7" s="19">
        <v>0.2</v>
      </c>
      <c r="G7" t="s">
        <v>144</v>
      </c>
      <c r="H7">
        <v>146</v>
      </c>
      <c r="I7">
        <v>50</v>
      </c>
      <c r="K7" t="s">
        <v>142</v>
      </c>
      <c r="L7">
        <v>46.7</v>
      </c>
    </row>
    <row r="8" spans="1:14" x14ac:dyDescent="0.25">
      <c r="A8" t="s">
        <v>111</v>
      </c>
      <c r="B8" t="s">
        <v>117</v>
      </c>
      <c r="C8" s="19">
        <v>0.3</v>
      </c>
      <c r="G8" t="s">
        <v>145</v>
      </c>
      <c r="H8">
        <v>132</v>
      </c>
      <c r="I8">
        <v>62.8</v>
      </c>
    </row>
    <row r="9" spans="1:14" x14ac:dyDescent="0.25">
      <c r="A9" t="s">
        <v>111</v>
      </c>
      <c r="B9" t="s">
        <v>118</v>
      </c>
      <c r="C9" s="19">
        <v>0.4</v>
      </c>
      <c r="G9" t="s">
        <v>146</v>
      </c>
      <c r="H9">
        <v>216</v>
      </c>
      <c r="I9">
        <v>53.7</v>
      </c>
    </row>
    <row r="10" spans="1:14" x14ac:dyDescent="0.25">
      <c r="A10" t="s">
        <v>119</v>
      </c>
      <c r="B10" t="s">
        <v>120</v>
      </c>
      <c r="C10" s="19">
        <v>-0.05</v>
      </c>
      <c r="G10" t="s">
        <v>148</v>
      </c>
      <c r="H10">
        <v>57</v>
      </c>
      <c r="I10">
        <v>27.9</v>
      </c>
    </row>
    <row r="11" spans="1:14" x14ac:dyDescent="0.25">
      <c r="A11" t="s">
        <v>119</v>
      </c>
      <c r="B11" t="s">
        <v>115</v>
      </c>
      <c r="C11" s="19">
        <v>0</v>
      </c>
      <c r="G11" t="s">
        <v>149</v>
      </c>
      <c r="H11">
        <v>248</v>
      </c>
      <c r="I11">
        <v>53.5</v>
      </c>
    </row>
    <row r="12" spans="1:14" x14ac:dyDescent="0.25">
      <c r="A12" t="s">
        <v>119</v>
      </c>
      <c r="B12" t="s">
        <v>92</v>
      </c>
      <c r="C12" s="19">
        <v>0.05</v>
      </c>
    </row>
    <row r="13" spans="1:14" x14ac:dyDescent="0.25">
      <c r="A13" t="s">
        <v>122</v>
      </c>
      <c r="B13" t="s">
        <v>121</v>
      </c>
      <c r="C13" s="19">
        <v>0</v>
      </c>
    </row>
    <row r="14" spans="1:14" x14ac:dyDescent="0.25">
      <c r="A14" t="s">
        <v>122</v>
      </c>
      <c r="B14" t="s">
        <v>123</v>
      </c>
      <c r="C14" s="19">
        <v>0.05</v>
      </c>
    </row>
    <row r="15" spans="1:14" x14ac:dyDescent="0.25">
      <c r="A15" t="s">
        <v>124</v>
      </c>
      <c r="B15" t="s">
        <v>114</v>
      </c>
      <c r="C15" s="19">
        <v>0.1</v>
      </c>
    </row>
    <row r="16" spans="1:14" x14ac:dyDescent="0.25">
      <c r="A16" t="s">
        <v>124</v>
      </c>
      <c r="B16" t="s">
        <v>115</v>
      </c>
      <c r="C16" s="19">
        <v>0</v>
      </c>
    </row>
    <row r="17" spans="1:14" x14ac:dyDescent="0.25">
      <c r="A17" t="s">
        <v>124</v>
      </c>
      <c r="B17" t="s">
        <v>116</v>
      </c>
      <c r="C17" s="19">
        <v>-0.15</v>
      </c>
      <c r="G17" s="2" t="s">
        <v>150</v>
      </c>
    </row>
    <row r="18" spans="1:14" x14ac:dyDescent="0.25">
      <c r="A18" t="s">
        <v>125</v>
      </c>
      <c r="B18" t="s">
        <v>126</v>
      </c>
      <c r="C18" s="19">
        <v>-0.05</v>
      </c>
      <c r="G18" t="s">
        <v>151</v>
      </c>
      <c r="H18" t="s">
        <v>152</v>
      </c>
      <c r="I18" t="s">
        <v>153</v>
      </c>
    </row>
    <row r="19" spans="1:14" x14ac:dyDescent="0.25">
      <c r="A19" t="s">
        <v>125</v>
      </c>
      <c r="B19" t="s">
        <v>115</v>
      </c>
      <c r="C19" s="19">
        <v>0</v>
      </c>
    </row>
    <row r="20" spans="1:14" x14ac:dyDescent="0.25">
      <c r="A20" t="s">
        <v>125</v>
      </c>
      <c r="B20" t="s">
        <v>96</v>
      </c>
      <c r="C20" s="19">
        <v>0.05</v>
      </c>
    </row>
    <row r="22" spans="1:14" x14ac:dyDescent="0.25">
      <c r="K22" s="4" t="s">
        <v>157</v>
      </c>
      <c r="L22" s="5" t="s">
        <v>155</v>
      </c>
      <c r="M22" s="5" t="s">
        <v>161</v>
      </c>
      <c r="N22" s="5" t="s">
        <v>162</v>
      </c>
    </row>
    <row r="23" spans="1:14" x14ac:dyDescent="0.25">
      <c r="A23" s="2" t="s">
        <v>189</v>
      </c>
      <c r="K23" s="5" t="s">
        <v>154</v>
      </c>
      <c r="L23" s="5">
        <v>50</v>
      </c>
      <c r="M23" s="5"/>
      <c r="N23" s="5"/>
    </row>
    <row r="24" spans="1:14" x14ac:dyDescent="0.25">
      <c r="A24" t="s">
        <v>190</v>
      </c>
      <c r="B24" t="s">
        <v>18</v>
      </c>
      <c r="C24" t="s">
        <v>192</v>
      </c>
      <c r="K24" s="5" t="s">
        <v>156</v>
      </c>
      <c r="L24" s="5">
        <v>80</v>
      </c>
      <c r="M24" s="5"/>
      <c r="N24" s="5"/>
    </row>
    <row r="25" spans="1:14" x14ac:dyDescent="0.25">
      <c r="A25" t="s">
        <v>190</v>
      </c>
      <c r="B25" t="s">
        <v>191</v>
      </c>
      <c r="C25" t="s">
        <v>193</v>
      </c>
      <c r="K25" s="4" t="s">
        <v>158</v>
      </c>
      <c r="L25" s="5" t="s">
        <v>155</v>
      </c>
      <c r="M25" s="5"/>
      <c r="N25" s="5"/>
    </row>
    <row r="26" spans="1:14" x14ac:dyDescent="0.25">
      <c r="A26" t="s">
        <v>194</v>
      </c>
      <c r="B26" t="s">
        <v>18</v>
      </c>
      <c r="C26" t="s">
        <v>195</v>
      </c>
      <c r="K26" s="5" t="s">
        <v>154</v>
      </c>
      <c r="L26" s="5">
        <v>130</v>
      </c>
      <c r="M26" s="5">
        <v>672</v>
      </c>
      <c r="N26" s="26">
        <v>1</v>
      </c>
    </row>
    <row r="27" spans="1:14" x14ac:dyDescent="0.25">
      <c r="A27" t="s">
        <v>194</v>
      </c>
      <c r="B27" t="s">
        <v>191</v>
      </c>
      <c r="C27" t="s">
        <v>196</v>
      </c>
      <c r="K27" s="5" t="s">
        <v>156</v>
      </c>
      <c r="L27" s="5">
        <v>200</v>
      </c>
      <c r="M27" s="5">
        <v>774</v>
      </c>
      <c r="N27" s="26">
        <f>M27/M26</f>
        <v>1.1517857142857142</v>
      </c>
    </row>
    <row r="28" spans="1:14" x14ac:dyDescent="0.25">
      <c r="K28" s="5" t="s">
        <v>159</v>
      </c>
      <c r="L28" s="5">
        <v>30</v>
      </c>
      <c r="M28" s="5">
        <v>657</v>
      </c>
      <c r="N28" s="26">
        <f>M28/M26</f>
        <v>0.9776785714285714</v>
      </c>
    </row>
    <row r="29" spans="1:14" x14ac:dyDescent="0.25">
      <c r="A29" s="2" t="s">
        <v>200</v>
      </c>
      <c r="K29" s="5" t="s">
        <v>160</v>
      </c>
      <c r="L29" s="5">
        <v>130</v>
      </c>
      <c r="M29" s="5"/>
      <c r="N29" s="26"/>
    </row>
    <row r="30" spans="1:14" x14ac:dyDescent="0.25">
      <c r="A30" t="s">
        <v>197</v>
      </c>
      <c r="B30" s="19">
        <v>0.05</v>
      </c>
      <c r="K30" s="5"/>
      <c r="L30" s="5"/>
      <c r="M30" s="5"/>
      <c r="N30" s="5"/>
    </row>
    <row r="31" spans="1:14" x14ac:dyDescent="0.25">
      <c r="A31" t="s">
        <v>198</v>
      </c>
      <c r="B31" s="19">
        <v>0</v>
      </c>
      <c r="K31" s="5" t="s">
        <v>163</v>
      </c>
      <c r="L31" s="5" t="s">
        <v>164</v>
      </c>
      <c r="M31" s="5"/>
      <c r="N31" s="5"/>
    </row>
    <row r="32" spans="1:14" x14ac:dyDescent="0.25">
      <c r="A32" t="s">
        <v>199</v>
      </c>
      <c r="B32" s="19">
        <v>-0.1</v>
      </c>
      <c r="K32" s="27" t="s">
        <v>165</v>
      </c>
      <c r="L32" s="28"/>
      <c r="M32" s="28"/>
    </row>
    <row r="33" spans="11:13" x14ac:dyDescent="0.25">
      <c r="K33" s="28">
        <v>200</v>
      </c>
      <c r="L33" s="28"/>
      <c r="M33" s="28">
        <v>530</v>
      </c>
    </row>
    <row r="34" spans="11:13" x14ac:dyDescent="0.25">
      <c r="K34" s="28">
        <v>250</v>
      </c>
      <c r="L34" s="28"/>
      <c r="M34" s="28">
        <v>640</v>
      </c>
    </row>
    <row r="35" spans="11:13" x14ac:dyDescent="0.25">
      <c r="K35" s="28">
        <v>300</v>
      </c>
      <c r="L35" s="28"/>
      <c r="M35" s="28">
        <v>720</v>
      </c>
    </row>
    <row r="36" spans="11:13" x14ac:dyDescent="0.25">
      <c r="K36" s="28">
        <v>380</v>
      </c>
      <c r="L36" s="28"/>
      <c r="M36" s="28">
        <v>800</v>
      </c>
    </row>
    <row r="38" spans="11:13" x14ac:dyDescent="0.25">
      <c r="K38" t="s">
        <v>166</v>
      </c>
      <c r="L38">
        <v>7</v>
      </c>
    </row>
    <row r="39" spans="11:13" x14ac:dyDescent="0.25">
      <c r="K39" t="s">
        <v>167</v>
      </c>
      <c r="L39">
        <v>30</v>
      </c>
    </row>
    <row r="40" spans="11:13" x14ac:dyDescent="0.25">
      <c r="K40" t="s">
        <v>168</v>
      </c>
      <c r="L40" t="s">
        <v>169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9549-3E0E-4FEE-ABD4-7A1FDA7B5692}">
  <dimension ref="A1:Q55"/>
  <sheetViews>
    <sheetView topLeftCell="A14" workbookViewId="0">
      <selection activeCell="K25" sqref="K25"/>
    </sheetView>
  </sheetViews>
  <sheetFormatPr baseColWidth="10" defaultRowHeight="15" x14ac:dyDescent="0.25"/>
  <cols>
    <col min="1" max="1" width="40.42578125" customWidth="1"/>
    <col min="2" max="2" width="18.42578125" customWidth="1"/>
    <col min="3" max="3" width="26.140625" customWidth="1"/>
    <col min="4" max="4" width="18.42578125" customWidth="1"/>
    <col min="5" max="5" width="13" customWidth="1"/>
    <col min="6" max="6" width="24.140625" customWidth="1"/>
    <col min="7" max="7" width="17.28515625" customWidth="1"/>
    <col min="9" max="9" width="17" customWidth="1"/>
    <col min="10" max="10" width="14" customWidth="1"/>
    <col min="11" max="11" width="11.85546875" customWidth="1"/>
    <col min="14" max="14" width="16" customWidth="1"/>
    <col min="16" max="16" width="14.85546875" customWidth="1"/>
  </cols>
  <sheetData>
    <row r="1" spans="1:11" ht="18.75" x14ac:dyDescent="0.3">
      <c r="A1" s="116" t="s">
        <v>217</v>
      </c>
      <c r="B1" s="116"/>
      <c r="C1" s="116"/>
      <c r="D1" s="116"/>
      <c r="E1" s="116"/>
      <c r="F1" s="116"/>
      <c r="G1" s="116"/>
    </row>
    <row r="2" spans="1:11" x14ac:dyDescent="0.25">
      <c r="A2" s="2" t="s">
        <v>200</v>
      </c>
      <c r="D2" s="2" t="s">
        <v>189</v>
      </c>
      <c r="I2" t="s">
        <v>206</v>
      </c>
    </row>
    <row r="3" spans="1:11" x14ac:dyDescent="0.25">
      <c r="A3" s="41" t="s">
        <v>203</v>
      </c>
      <c r="B3" t="s">
        <v>205</v>
      </c>
      <c r="D3" s="41" t="s">
        <v>204</v>
      </c>
      <c r="E3" s="71" t="s">
        <v>270</v>
      </c>
      <c r="F3" t="s">
        <v>205</v>
      </c>
      <c r="I3" s="4" t="s">
        <v>18</v>
      </c>
      <c r="J3" s="4" t="s">
        <v>207</v>
      </c>
      <c r="K3" s="4" t="s">
        <v>211</v>
      </c>
    </row>
    <row r="4" spans="1:11" x14ac:dyDescent="0.25">
      <c r="A4" s="5" t="s">
        <v>212</v>
      </c>
      <c r="B4" s="43">
        <v>0.1</v>
      </c>
      <c r="D4" s="4" t="s">
        <v>216</v>
      </c>
      <c r="E4" s="4" t="s">
        <v>213</v>
      </c>
      <c r="F4" s="5" t="s">
        <v>210</v>
      </c>
      <c r="G4" s="5"/>
      <c r="I4" s="5" t="s">
        <v>208</v>
      </c>
      <c r="J4" s="5" t="s">
        <v>207</v>
      </c>
      <c r="K4" s="43">
        <v>-0.05</v>
      </c>
    </row>
    <row r="5" spans="1:11" x14ac:dyDescent="0.25">
      <c r="A5" s="5" t="s">
        <v>197</v>
      </c>
      <c r="B5" s="43">
        <v>0.05</v>
      </c>
      <c r="D5" s="117" t="s">
        <v>268</v>
      </c>
      <c r="E5" s="117"/>
      <c r="F5" s="19">
        <v>0.4</v>
      </c>
      <c r="G5" s="19"/>
      <c r="I5" s="5" t="s">
        <v>209</v>
      </c>
      <c r="J5" s="5" t="s">
        <v>207</v>
      </c>
      <c r="K5" s="43">
        <v>0</v>
      </c>
    </row>
    <row r="6" spans="1:11" x14ac:dyDescent="0.25">
      <c r="A6" s="5" t="s">
        <v>198</v>
      </c>
      <c r="B6" s="43">
        <v>0</v>
      </c>
      <c r="D6" t="s">
        <v>96</v>
      </c>
      <c r="F6" s="19">
        <v>1</v>
      </c>
      <c r="I6" s="5" t="s">
        <v>208</v>
      </c>
      <c r="J6" s="5" t="s">
        <v>210</v>
      </c>
      <c r="K6" s="43">
        <v>0</v>
      </c>
    </row>
    <row r="7" spans="1:11" x14ac:dyDescent="0.25">
      <c r="A7" s="5" t="s">
        <v>199</v>
      </c>
      <c r="B7" s="43">
        <v>-0.2</v>
      </c>
      <c r="D7" t="s">
        <v>100</v>
      </c>
      <c r="F7" s="19">
        <v>0.5</v>
      </c>
      <c r="I7" s="5" t="s">
        <v>209</v>
      </c>
      <c r="J7" s="5" t="s">
        <v>210</v>
      </c>
      <c r="K7" s="43">
        <v>0</v>
      </c>
    </row>
    <row r="8" spans="1:11" x14ac:dyDescent="0.25">
      <c r="B8" s="19"/>
      <c r="D8" t="s">
        <v>269</v>
      </c>
      <c r="F8" s="19">
        <v>1</v>
      </c>
      <c r="G8" s="5"/>
      <c r="K8" s="19"/>
    </row>
    <row r="9" spans="1:11" x14ac:dyDescent="0.25">
      <c r="B9" s="19"/>
      <c r="D9" t="s">
        <v>130</v>
      </c>
      <c r="F9" s="19">
        <v>0.5</v>
      </c>
      <c r="G9" s="5"/>
      <c r="K9" s="19"/>
    </row>
    <row r="10" spans="1:11" x14ac:dyDescent="0.25">
      <c r="B10" s="19"/>
      <c r="D10" s="68" t="s">
        <v>208</v>
      </c>
      <c r="E10" s="68" t="s">
        <v>215</v>
      </c>
      <c r="F10" s="69">
        <v>0.25</v>
      </c>
      <c r="G10" s="5"/>
      <c r="K10" s="19"/>
    </row>
    <row r="11" spans="1:11" x14ac:dyDescent="0.25">
      <c r="B11" s="19"/>
      <c r="D11" s="68" t="s">
        <v>209</v>
      </c>
      <c r="E11" s="68" t="s">
        <v>215</v>
      </c>
      <c r="F11" s="69">
        <v>0.5</v>
      </c>
      <c r="G11" s="5"/>
      <c r="K11" s="19"/>
    </row>
    <row r="12" spans="1:11" x14ac:dyDescent="0.25">
      <c r="B12" s="19"/>
      <c r="D12" s="68" t="s">
        <v>209</v>
      </c>
      <c r="E12" s="68" t="s">
        <v>214</v>
      </c>
      <c r="F12" s="70">
        <v>0.125</v>
      </c>
      <c r="K12" s="19"/>
    </row>
    <row r="13" spans="1:11" x14ac:dyDescent="0.25">
      <c r="B13" s="19"/>
      <c r="D13" s="68" t="s">
        <v>218</v>
      </c>
      <c r="E13" s="68" t="s">
        <v>215</v>
      </c>
      <c r="F13" s="69">
        <v>1</v>
      </c>
      <c r="K13" s="19"/>
    </row>
    <row r="14" spans="1:11" ht="28.5" customHeight="1" x14ac:dyDescent="0.25">
      <c r="B14" s="19"/>
      <c r="D14" s="68" t="s">
        <v>218</v>
      </c>
      <c r="E14" s="68" t="s">
        <v>214</v>
      </c>
      <c r="F14" s="69">
        <v>0.5</v>
      </c>
      <c r="G14" s="5"/>
      <c r="K14" s="19"/>
    </row>
    <row r="15" spans="1:11" x14ac:dyDescent="0.25">
      <c r="B15" s="19"/>
      <c r="K15" s="19"/>
    </row>
    <row r="16" spans="1:11" x14ac:dyDescent="0.25">
      <c r="B16" s="19"/>
      <c r="K16" s="19"/>
    </row>
    <row r="17" spans="1:17" x14ac:dyDescent="0.25">
      <c r="B17" s="19"/>
      <c r="K17" s="19"/>
    </row>
    <row r="18" spans="1:17" x14ac:dyDescent="0.25">
      <c r="B18" s="19"/>
      <c r="K18" s="19"/>
    </row>
    <row r="19" spans="1:17" ht="18.75" x14ac:dyDescent="0.3">
      <c r="A19" s="116" t="s">
        <v>201</v>
      </c>
      <c r="B19" s="116"/>
      <c r="C19" s="116"/>
      <c r="D19" s="116"/>
      <c r="E19" s="116"/>
      <c r="F19" s="116"/>
      <c r="G19" s="116"/>
    </row>
    <row r="20" spans="1:17" x14ac:dyDescent="0.25">
      <c r="A20" t="s">
        <v>202</v>
      </c>
    </row>
    <row r="27" spans="1:17" ht="18.75" x14ac:dyDescent="0.3">
      <c r="A27" s="116" t="s">
        <v>221</v>
      </c>
      <c r="B27" s="116"/>
      <c r="C27" s="116"/>
      <c r="D27" s="116"/>
      <c r="E27" s="116"/>
      <c r="F27" s="116"/>
      <c r="G27" s="116"/>
    </row>
    <row r="28" spans="1:17" x14ac:dyDescent="0.25">
      <c r="A28" s="2" t="s">
        <v>222</v>
      </c>
      <c r="F28" s="2"/>
      <c r="P28" s="2"/>
    </row>
    <row r="29" spans="1:17" x14ac:dyDescent="0.25">
      <c r="A29" s="112" t="s">
        <v>223</v>
      </c>
      <c r="B29" t="s">
        <v>205</v>
      </c>
      <c r="F29" s="41"/>
      <c r="P29" s="41"/>
    </row>
    <row r="30" spans="1:17" x14ac:dyDescent="0.25">
      <c r="A30" t="s">
        <v>224</v>
      </c>
      <c r="B30" t="s">
        <v>9</v>
      </c>
      <c r="C30" t="s">
        <v>228</v>
      </c>
      <c r="D30" t="s">
        <v>225</v>
      </c>
      <c r="F30" s="4"/>
      <c r="G30" s="4"/>
      <c r="H30" s="11"/>
      <c r="I30" s="11"/>
      <c r="J30" s="11"/>
      <c r="K30" s="11"/>
      <c r="L30" s="11"/>
      <c r="M30" s="11"/>
      <c r="N30" s="45"/>
      <c r="P30" s="2"/>
      <c r="Q30" s="2"/>
    </row>
    <row r="31" spans="1:17" x14ac:dyDescent="0.25">
      <c r="A31" t="s">
        <v>226</v>
      </c>
      <c r="B31" t="s">
        <v>231</v>
      </c>
      <c r="C31" t="s">
        <v>229</v>
      </c>
      <c r="F31" s="5"/>
      <c r="G31" s="5"/>
      <c r="H31" s="5"/>
      <c r="I31" s="5"/>
      <c r="J31" s="5"/>
      <c r="K31" s="5"/>
      <c r="L31" s="5"/>
      <c r="M31" s="5"/>
    </row>
    <row r="32" spans="1:17" x14ac:dyDescent="0.25">
      <c r="A32" t="s">
        <v>227</v>
      </c>
      <c r="B32" t="s">
        <v>1</v>
      </c>
      <c r="C32" t="s">
        <v>230</v>
      </c>
      <c r="F32" s="5"/>
      <c r="G32" s="5"/>
      <c r="H32" s="5"/>
      <c r="I32" s="5"/>
      <c r="J32" s="5"/>
      <c r="K32" s="5"/>
      <c r="L32" s="5"/>
      <c r="M32" s="5"/>
    </row>
    <row r="33" spans="1:14" x14ac:dyDescent="0.25">
      <c r="A33" t="s">
        <v>232</v>
      </c>
      <c r="B33" t="s">
        <v>231</v>
      </c>
      <c r="C33" t="s">
        <v>233</v>
      </c>
      <c r="F33" s="5"/>
      <c r="G33" s="5"/>
      <c r="H33" s="5"/>
      <c r="I33" s="5"/>
      <c r="J33" s="5"/>
      <c r="K33" s="5"/>
      <c r="L33" s="5"/>
      <c r="M33" s="5"/>
    </row>
    <row r="34" spans="1:14" x14ac:dyDescent="0.25">
      <c r="A34" t="s">
        <v>234</v>
      </c>
      <c r="B34" t="s">
        <v>231</v>
      </c>
      <c r="C34" t="s">
        <v>235</v>
      </c>
      <c r="F34" s="5"/>
      <c r="G34" s="5"/>
      <c r="H34" s="5"/>
      <c r="I34" s="5"/>
      <c r="J34" s="5"/>
      <c r="K34" s="5"/>
      <c r="L34" s="5"/>
      <c r="M34" s="5"/>
    </row>
    <row r="35" spans="1:14" x14ac:dyDescent="0.25">
      <c r="A35" t="s">
        <v>236</v>
      </c>
      <c r="B35" t="s">
        <v>231</v>
      </c>
      <c r="C35" t="s">
        <v>237</v>
      </c>
      <c r="F35" s="5"/>
      <c r="G35" s="5"/>
      <c r="H35" s="5"/>
      <c r="I35" s="5"/>
      <c r="J35" s="5"/>
      <c r="K35" s="5"/>
      <c r="L35" s="5"/>
      <c r="M35" s="5"/>
    </row>
    <row r="36" spans="1:14" x14ac:dyDescent="0.25">
      <c r="A36" t="s">
        <v>238</v>
      </c>
      <c r="B36" t="s">
        <v>231</v>
      </c>
      <c r="F36" s="5"/>
      <c r="G36" s="5"/>
      <c r="H36" s="5"/>
      <c r="I36" s="5"/>
      <c r="J36" s="5"/>
      <c r="K36" s="5"/>
      <c r="L36" s="5"/>
      <c r="M36" s="5"/>
    </row>
    <row r="37" spans="1:14" x14ac:dyDescent="0.25">
      <c r="A37" t="s">
        <v>240</v>
      </c>
      <c r="B37" t="s">
        <v>231</v>
      </c>
      <c r="C37" t="s">
        <v>239</v>
      </c>
      <c r="F37" s="5"/>
      <c r="G37" s="5"/>
      <c r="H37" s="5"/>
      <c r="I37" s="5"/>
      <c r="J37" s="5"/>
      <c r="K37" s="5"/>
      <c r="L37" s="5"/>
      <c r="M37" s="5"/>
    </row>
    <row r="38" spans="1:14" ht="30" x14ac:dyDescent="0.25">
      <c r="A38" s="1" t="s">
        <v>241</v>
      </c>
      <c r="F38" s="5"/>
      <c r="G38" s="5"/>
      <c r="H38" s="5"/>
      <c r="I38" s="5"/>
      <c r="J38" s="5"/>
      <c r="K38" s="5"/>
      <c r="L38" s="5"/>
      <c r="M38" s="5"/>
    </row>
    <row r="39" spans="1:14" x14ac:dyDescent="0.25">
      <c r="A39" s="2" t="s">
        <v>172</v>
      </c>
      <c r="D39" s="44">
        <f>D31+SUM(D32:D38)</f>
        <v>0</v>
      </c>
      <c r="F39" s="5"/>
      <c r="G39" s="5"/>
      <c r="H39" s="5"/>
      <c r="I39" s="5"/>
      <c r="J39" s="5"/>
      <c r="K39" s="5"/>
      <c r="L39" s="5"/>
      <c r="M39" s="5"/>
    </row>
    <row r="40" spans="1:14" x14ac:dyDescent="0.25">
      <c r="F40" s="5"/>
      <c r="G40" s="5"/>
      <c r="H40" s="5"/>
      <c r="I40" s="5"/>
      <c r="J40" s="5"/>
      <c r="K40" s="5"/>
      <c r="L40" s="5"/>
      <c r="M40" s="5"/>
    </row>
    <row r="41" spans="1:14" x14ac:dyDescent="0.25">
      <c r="F41" s="5"/>
      <c r="G41" s="5"/>
      <c r="H41" s="5"/>
      <c r="I41" s="5"/>
      <c r="J41" s="5"/>
      <c r="K41" s="5"/>
      <c r="L41" s="5"/>
      <c r="M41" s="5"/>
      <c r="N41" s="25"/>
    </row>
    <row r="42" spans="1:14" x14ac:dyDescent="0.25">
      <c r="A42" s="81" t="s">
        <v>298</v>
      </c>
      <c r="F42" s="5"/>
      <c r="G42" s="5"/>
      <c r="H42" s="5"/>
      <c r="I42" s="5"/>
      <c r="J42" s="5"/>
      <c r="K42" s="5"/>
      <c r="L42" s="5"/>
      <c r="M42" s="5"/>
      <c r="N42" s="25"/>
    </row>
    <row r="43" spans="1:14" x14ac:dyDescent="0.25">
      <c r="F43" s="5"/>
      <c r="G43" s="5"/>
      <c r="H43" s="5"/>
      <c r="I43" s="5"/>
      <c r="J43" s="5"/>
      <c r="K43" s="5"/>
      <c r="L43" s="5"/>
      <c r="M43" s="5"/>
      <c r="N43" s="25"/>
    </row>
    <row r="44" spans="1:14" x14ac:dyDescent="0.25">
      <c r="F44" s="5"/>
      <c r="G44" s="5"/>
      <c r="H44" s="5"/>
      <c r="I44" s="5"/>
      <c r="J44" s="5"/>
      <c r="K44" s="5"/>
      <c r="L44" s="5"/>
      <c r="M44" s="5"/>
    </row>
    <row r="45" spans="1:14" x14ac:dyDescent="0.25">
      <c r="F45" s="5"/>
      <c r="G45" s="5"/>
      <c r="H45" s="5"/>
      <c r="I45" s="5"/>
      <c r="J45" s="5"/>
      <c r="K45" s="5"/>
      <c r="L45" s="5"/>
      <c r="M45" s="5"/>
    </row>
    <row r="46" spans="1:14" x14ac:dyDescent="0.25">
      <c r="F46" s="5"/>
      <c r="G46" s="5"/>
      <c r="H46" s="5"/>
      <c r="I46" s="5"/>
      <c r="J46" s="5"/>
      <c r="K46" s="5"/>
      <c r="L46" s="5"/>
      <c r="M46" s="5"/>
    </row>
    <row r="47" spans="1:14" x14ac:dyDescent="0.25">
      <c r="F47" s="5"/>
      <c r="G47" s="5"/>
      <c r="H47" s="5"/>
      <c r="I47" s="5"/>
      <c r="J47" s="5"/>
      <c r="K47" s="5"/>
      <c r="L47" s="5"/>
      <c r="M47" s="5"/>
    </row>
    <row r="48" spans="1:14" x14ac:dyDescent="0.25">
      <c r="F48" s="5"/>
      <c r="G48" s="5"/>
      <c r="H48" s="5"/>
      <c r="I48" s="5"/>
      <c r="J48" s="5"/>
      <c r="K48" s="5"/>
      <c r="L48" s="5"/>
      <c r="M48" s="5"/>
    </row>
    <row r="49" spans="1:14" x14ac:dyDescent="0.25">
      <c r="F49" s="5"/>
      <c r="G49" s="5"/>
      <c r="H49" s="5"/>
      <c r="I49" s="5"/>
      <c r="J49" s="5"/>
      <c r="K49" s="5"/>
      <c r="L49" s="5"/>
      <c r="M49" s="5"/>
    </row>
    <row r="50" spans="1:14" x14ac:dyDescent="0.25">
      <c r="F50" s="5"/>
      <c r="G50" s="5"/>
      <c r="H50" s="5"/>
      <c r="I50" s="5"/>
      <c r="J50" s="5"/>
      <c r="K50" s="5"/>
      <c r="L50" s="5"/>
      <c r="M50" s="5"/>
    </row>
    <row r="51" spans="1:14" x14ac:dyDescent="0.25">
      <c r="F51" s="5"/>
      <c r="G51" s="5"/>
      <c r="H51" s="5"/>
      <c r="I51" s="5"/>
      <c r="J51" s="5"/>
      <c r="K51" s="5"/>
      <c r="L51" s="5"/>
      <c r="M51" s="5"/>
      <c r="N51" s="25"/>
    </row>
    <row r="52" spans="1:14" x14ac:dyDescent="0.25">
      <c r="F52" s="5"/>
      <c r="G52" s="5"/>
      <c r="H52" s="5"/>
      <c r="I52" s="5"/>
      <c r="J52" s="5"/>
      <c r="K52" s="5"/>
      <c r="L52" s="5"/>
      <c r="M52" s="5"/>
      <c r="N52" s="25"/>
    </row>
    <row r="53" spans="1:14" x14ac:dyDescent="0.25">
      <c r="F53" s="5"/>
      <c r="G53" s="5"/>
      <c r="H53" s="5"/>
      <c r="I53" s="5"/>
      <c r="J53" s="5"/>
      <c r="K53" s="5"/>
      <c r="L53" s="5"/>
      <c r="M53" s="5"/>
      <c r="N53" s="25"/>
    </row>
    <row r="54" spans="1:14" x14ac:dyDescent="0.25">
      <c r="F54" s="5"/>
      <c r="G54" s="5"/>
      <c r="H54" s="5"/>
      <c r="I54" s="5"/>
      <c r="J54" s="5"/>
      <c r="K54" s="5"/>
      <c r="L54" s="5"/>
      <c r="M54" s="5"/>
      <c r="N54" s="46"/>
    </row>
    <row r="55" spans="1:14" ht="18.75" x14ac:dyDescent="0.3">
      <c r="A55" s="42" t="s">
        <v>220</v>
      </c>
      <c r="B55" s="42"/>
      <c r="C55" s="42"/>
      <c r="D55" s="42"/>
      <c r="E55" s="42"/>
      <c r="F55" s="42"/>
      <c r="G55" s="42"/>
    </row>
  </sheetData>
  <mergeCells count="4">
    <mergeCell ref="A1:G1"/>
    <mergeCell ref="A19:G19"/>
    <mergeCell ref="A27:G27"/>
    <mergeCell ref="D5:E5"/>
  </mergeCells>
  <hyperlinks>
    <hyperlink ref="A29" r:id="rId1" xr:uid="{648F0640-BCDF-44F0-BDB5-950D52435F4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67F-E09D-41BB-B2F7-2774B79A088B}">
  <dimension ref="A3:K31"/>
  <sheetViews>
    <sheetView workbookViewId="0">
      <selection activeCell="L15" sqref="L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25.4</v>
      </c>
      <c r="E4" s="29">
        <v>25.4</v>
      </c>
      <c r="F4" s="29">
        <v>25.4</v>
      </c>
      <c r="G4" s="29">
        <v>25.4</v>
      </c>
      <c r="H4" s="29">
        <v>25.4</v>
      </c>
      <c r="I4" s="29">
        <v>25.4</v>
      </c>
      <c r="J4" s="29">
        <v>25.4</v>
      </c>
      <c r="K4" s="29">
        <v>25.4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48.3</v>
      </c>
      <c r="E5" s="3">
        <v>61.4</v>
      </c>
      <c r="F5" s="3">
        <v>56.3</v>
      </c>
      <c r="G5" s="3">
        <v>57.3</v>
      </c>
      <c r="H5" s="3">
        <v>66.7</v>
      </c>
      <c r="I5" s="3">
        <v>74.3</v>
      </c>
      <c r="J5" s="3">
        <v>66.099999999999994</v>
      </c>
      <c r="K5" s="3">
        <v>66.099999999999994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1226.82</v>
      </c>
      <c r="E6" s="32">
        <f t="shared" ref="E6:K6" si="0">E5*E4</f>
        <v>1559.56</v>
      </c>
      <c r="F6" s="32">
        <f t="shared" si="0"/>
        <v>1430.0199999999998</v>
      </c>
      <c r="G6" s="32">
        <f t="shared" si="0"/>
        <v>1455.4199999999998</v>
      </c>
      <c r="H6" s="32">
        <f t="shared" si="0"/>
        <v>1694.18</v>
      </c>
      <c r="I6" s="32">
        <f t="shared" si="0"/>
        <v>1887.2199999999998</v>
      </c>
      <c r="J6" s="32">
        <f t="shared" si="0"/>
        <v>1678.9399999999998</v>
      </c>
      <c r="K6" s="32">
        <f t="shared" si="0"/>
        <v>1678.9399999999998</v>
      </c>
    </row>
    <row r="7" spans="1:11" x14ac:dyDescent="0.25">
      <c r="A7" s="5" t="s">
        <v>0</v>
      </c>
      <c r="B7" s="5" t="s">
        <v>4</v>
      </c>
      <c r="C7" s="5" t="s">
        <v>3</v>
      </c>
      <c r="D7" s="48">
        <v>163.5</v>
      </c>
      <c r="E7" s="48">
        <v>163.5</v>
      </c>
      <c r="F7" s="48">
        <v>163.5</v>
      </c>
      <c r="G7" s="48">
        <v>170</v>
      </c>
      <c r="H7" s="48">
        <v>180</v>
      </c>
      <c r="I7" s="48">
        <v>190</v>
      </c>
      <c r="J7" s="48">
        <v>204</v>
      </c>
      <c r="K7" s="48">
        <v>204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f>0.14*10</f>
        <v>1.4000000000000001</v>
      </c>
      <c r="E11" s="109">
        <f t="shared" ref="E11:K11" si="2">0.14*10</f>
        <v>1.4000000000000001</v>
      </c>
      <c r="F11" s="109">
        <f t="shared" si="2"/>
        <v>1.4000000000000001</v>
      </c>
      <c r="G11" s="109">
        <f t="shared" si="2"/>
        <v>1.4000000000000001</v>
      </c>
      <c r="H11" s="109">
        <f t="shared" si="2"/>
        <v>1.4000000000000001</v>
      </c>
      <c r="I11" s="109">
        <f t="shared" si="2"/>
        <v>1.4000000000000001</v>
      </c>
      <c r="J11" s="109">
        <f t="shared" si="2"/>
        <v>1.4000000000000001</v>
      </c>
      <c r="K11" s="109">
        <f t="shared" si="2"/>
        <v>1.4000000000000001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35.56</v>
      </c>
      <c r="E12" s="96">
        <f t="shared" ref="E12:K12" si="3">E11*E4</f>
        <v>35.56</v>
      </c>
      <c r="F12" s="96">
        <f t="shared" si="3"/>
        <v>35.56</v>
      </c>
      <c r="G12" s="96">
        <f t="shared" si="3"/>
        <v>35.56</v>
      </c>
      <c r="H12" s="96">
        <f t="shared" si="3"/>
        <v>35.56</v>
      </c>
      <c r="I12" s="96">
        <f t="shared" si="3"/>
        <v>35.56</v>
      </c>
      <c r="J12" s="96">
        <f t="shared" si="3"/>
        <v>35.56</v>
      </c>
      <c r="K12" s="96">
        <f t="shared" si="3"/>
        <v>35.56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f>0.65*10</f>
        <v>6.5</v>
      </c>
      <c r="E14" s="101">
        <f t="shared" ref="E14:K14" si="4">0.65*10</f>
        <v>6.5</v>
      </c>
      <c r="F14" s="101">
        <f t="shared" si="4"/>
        <v>6.5</v>
      </c>
      <c r="G14" s="101">
        <f t="shared" si="4"/>
        <v>6.5</v>
      </c>
      <c r="H14" s="101">
        <f t="shared" si="4"/>
        <v>6.5</v>
      </c>
      <c r="I14" s="101">
        <f t="shared" si="4"/>
        <v>6.5</v>
      </c>
      <c r="J14" s="101">
        <f t="shared" si="4"/>
        <v>6.5</v>
      </c>
      <c r="K14" s="101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165.1</v>
      </c>
      <c r="E15" s="96">
        <f t="shared" ref="E15:K15" si="5">E14*E4</f>
        <v>165.1</v>
      </c>
      <c r="F15" s="96">
        <f t="shared" si="5"/>
        <v>165.1</v>
      </c>
      <c r="G15" s="96">
        <f t="shared" si="5"/>
        <v>165.1</v>
      </c>
      <c r="H15" s="96">
        <f t="shared" si="5"/>
        <v>165.1</v>
      </c>
      <c r="I15" s="96">
        <f t="shared" si="5"/>
        <v>165.1</v>
      </c>
      <c r="J15" s="96">
        <f t="shared" si="5"/>
        <v>165.1</v>
      </c>
      <c r="K15" s="96">
        <f t="shared" si="5"/>
        <v>165.1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334.46719999999999</v>
      </c>
      <c r="E17" s="85">
        <f t="shared" ref="E17:K17" si="6">E10*E9+E13*E12+E16*E15</f>
        <v>323.36739999999998</v>
      </c>
      <c r="F17" s="85">
        <f t="shared" si="6"/>
        <v>308.483</v>
      </c>
      <c r="G17" s="85">
        <f t="shared" si="6"/>
        <v>303.53000000000003</v>
      </c>
      <c r="H17" s="85">
        <f t="shared" si="6"/>
        <v>303.17439999999999</v>
      </c>
      <c r="I17" s="85">
        <f t="shared" si="6"/>
        <v>294.08119999999997</v>
      </c>
      <c r="J17" s="85">
        <f t="shared" si="6"/>
        <v>313.02959999999996</v>
      </c>
      <c r="K17" s="85">
        <f t="shared" si="6"/>
        <v>505.66319999999996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334.46719999999999</v>
      </c>
      <c r="E18" s="31">
        <f t="shared" ref="E18:K18" si="7">E17</f>
        <v>323.36739999999998</v>
      </c>
      <c r="F18" s="31">
        <f t="shared" si="7"/>
        <v>308.483</v>
      </c>
      <c r="G18" s="31">
        <f t="shared" si="7"/>
        <v>303.53000000000003</v>
      </c>
      <c r="H18" s="31">
        <f t="shared" si="7"/>
        <v>303.17439999999999</v>
      </c>
      <c r="I18" s="31">
        <f t="shared" si="7"/>
        <v>294.08119999999997</v>
      </c>
      <c r="J18" s="31">
        <f t="shared" si="7"/>
        <v>313.02959999999996</v>
      </c>
      <c r="K18" s="31">
        <f t="shared" si="7"/>
        <v>505.66319999999996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439+32+143</f>
        <v>614</v>
      </c>
      <c r="E19" s="37">
        <f>439+32+143</f>
        <v>614</v>
      </c>
      <c r="F19" s="34">
        <v>600</v>
      </c>
      <c r="G19" s="34">
        <v>610</v>
      </c>
      <c r="H19" s="34">
        <v>620</v>
      </c>
      <c r="I19" s="34">
        <f>167+32+476</f>
        <v>675</v>
      </c>
      <c r="J19" s="34">
        <f>486+33+170</f>
        <v>689</v>
      </c>
      <c r="K19" s="34">
        <f>173+32+483</f>
        <v>688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1111.9672</v>
      </c>
      <c r="E20" s="38">
        <f t="shared" si="8"/>
        <v>1100.8674000000001</v>
      </c>
      <c r="F20" s="38">
        <f t="shared" si="8"/>
        <v>1071.9829999999999</v>
      </c>
      <c r="G20" s="38">
        <f t="shared" si="8"/>
        <v>1083.53</v>
      </c>
      <c r="H20" s="38">
        <f t="shared" si="8"/>
        <v>1103.1743999999999</v>
      </c>
      <c r="I20" s="38">
        <f t="shared" si="8"/>
        <v>1159.0812000000001</v>
      </c>
      <c r="J20" s="38">
        <f t="shared" si="8"/>
        <v>1206.0295999999998</v>
      </c>
      <c r="K20" s="38">
        <f t="shared" si="8"/>
        <v>1397.6632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114.85279999999989</v>
      </c>
      <c r="E21" s="55">
        <f t="shared" si="9"/>
        <v>458.69259999999986</v>
      </c>
      <c r="F21" s="55">
        <f t="shared" si="9"/>
        <v>358.03699999999981</v>
      </c>
      <c r="G21" s="55">
        <f t="shared" si="9"/>
        <v>371.88999999999987</v>
      </c>
      <c r="H21" s="55">
        <f t="shared" si="9"/>
        <v>591.00560000000019</v>
      </c>
      <c r="I21" s="55">
        <f t="shared" si="9"/>
        <v>728.13879999999972</v>
      </c>
      <c r="J21" s="55">
        <f t="shared" si="9"/>
        <v>472.91039999999998</v>
      </c>
      <c r="K21" s="55">
        <f t="shared" si="9"/>
        <v>281.27679999999987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9D84-CEAF-4148-85D3-CE5D5C1BF5AE}">
  <dimension ref="A3:K31"/>
  <sheetViews>
    <sheetView workbookViewId="0">
      <selection activeCell="K11" sqref="D11:K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253</v>
      </c>
      <c r="B3" s="4"/>
      <c r="C3" s="4"/>
      <c r="D3" s="104">
        <v>2015</v>
      </c>
      <c r="E3" s="104">
        <v>2016</v>
      </c>
      <c r="F3" s="104">
        <v>2017</v>
      </c>
      <c r="G3" s="104">
        <v>2018</v>
      </c>
      <c r="H3" s="104">
        <v>2019</v>
      </c>
      <c r="I3" s="104">
        <v>2020</v>
      </c>
      <c r="J3" s="104">
        <v>2021</v>
      </c>
      <c r="K3" s="104">
        <v>2022</v>
      </c>
    </row>
    <row r="4" spans="1:11" x14ac:dyDescent="0.25">
      <c r="A4" s="5" t="s">
        <v>249</v>
      </c>
      <c r="B4" s="5"/>
      <c r="C4" s="102" t="s">
        <v>171</v>
      </c>
      <c r="D4" s="35">
        <v>1.89</v>
      </c>
      <c r="E4" s="35">
        <v>1.42</v>
      </c>
      <c r="F4" s="35">
        <v>1.25</v>
      </c>
      <c r="G4" s="35">
        <v>0.99</v>
      </c>
      <c r="H4" s="35">
        <v>1.44</v>
      </c>
      <c r="I4" s="35">
        <v>1.99</v>
      </c>
      <c r="J4" s="35">
        <v>1.99</v>
      </c>
      <c r="K4" s="35">
        <v>2.04</v>
      </c>
    </row>
    <row r="5" spans="1:11" x14ac:dyDescent="0.25">
      <c r="A5" s="5" t="s">
        <v>175</v>
      </c>
      <c r="B5" s="40" t="s">
        <v>1</v>
      </c>
      <c r="C5" s="102" t="s">
        <v>178</v>
      </c>
      <c r="D5" s="36">
        <v>447.48</v>
      </c>
      <c r="E5" s="36">
        <v>452</v>
      </c>
      <c r="F5" s="36">
        <v>468.95</v>
      </c>
      <c r="G5" s="36">
        <v>458.59</v>
      </c>
      <c r="H5" s="36">
        <v>442.59</v>
      </c>
      <c r="I5" s="36">
        <v>449.17</v>
      </c>
      <c r="J5" s="36">
        <v>493.39</v>
      </c>
      <c r="K5" s="36">
        <v>493.39</v>
      </c>
    </row>
    <row r="6" spans="1:11" x14ac:dyDescent="0.25">
      <c r="A6" s="5" t="s">
        <v>176</v>
      </c>
      <c r="B6" s="40" t="s">
        <v>1</v>
      </c>
      <c r="C6" s="102" t="s">
        <v>177</v>
      </c>
      <c r="D6" s="32">
        <f>D5*D4</f>
        <v>845.73720000000003</v>
      </c>
      <c r="E6" s="32">
        <f t="shared" ref="E6:K6" si="0">E5*E4</f>
        <v>641.83999999999992</v>
      </c>
      <c r="F6" s="32">
        <f t="shared" si="0"/>
        <v>586.1875</v>
      </c>
      <c r="G6" s="32">
        <f t="shared" si="0"/>
        <v>454.00409999999999</v>
      </c>
      <c r="H6" s="32">
        <f t="shared" si="0"/>
        <v>637.32959999999991</v>
      </c>
      <c r="I6" s="32">
        <f t="shared" si="0"/>
        <v>893.84829999999999</v>
      </c>
      <c r="J6" s="32">
        <f t="shared" si="0"/>
        <v>981.84609999999998</v>
      </c>
      <c r="K6" s="32">
        <f t="shared" si="0"/>
        <v>1006.5155999999999</v>
      </c>
    </row>
    <row r="7" spans="1:11" x14ac:dyDescent="0.25">
      <c r="A7" s="5" t="s">
        <v>0</v>
      </c>
      <c r="B7" s="5" t="s">
        <v>4</v>
      </c>
      <c r="C7" s="102" t="s">
        <v>3</v>
      </c>
      <c r="D7" s="105">
        <v>177.72</v>
      </c>
      <c r="E7" s="105">
        <v>176.84</v>
      </c>
      <c r="F7" s="105">
        <v>187.72</v>
      </c>
      <c r="G7" s="105">
        <v>189.32</v>
      </c>
      <c r="H7" s="105">
        <v>187.24</v>
      </c>
      <c r="I7" s="105">
        <v>193.84</v>
      </c>
      <c r="J7" s="105">
        <v>201.52</v>
      </c>
      <c r="K7" s="105">
        <v>201.52</v>
      </c>
    </row>
    <row r="8" spans="1:11" x14ac:dyDescent="0.25">
      <c r="A8" s="5" t="s">
        <v>172</v>
      </c>
      <c r="B8" s="40" t="s">
        <v>1</v>
      </c>
      <c r="C8" s="102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102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102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12</v>
      </c>
      <c r="E11" s="109">
        <v>12</v>
      </c>
      <c r="F11" s="109">
        <v>12</v>
      </c>
      <c r="G11" s="109">
        <v>12</v>
      </c>
      <c r="H11" s="109">
        <v>12</v>
      </c>
      <c r="I11" s="109">
        <v>12</v>
      </c>
      <c r="J11" s="109">
        <v>12</v>
      </c>
      <c r="K11" s="109">
        <v>12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9">
        <f>D11*D4</f>
        <v>22.68</v>
      </c>
      <c r="E12" s="99">
        <f t="shared" ref="E12:K12" si="2">E11*E4</f>
        <v>17.04</v>
      </c>
      <c r="F12" s="99">
        <f t="shared" si="2"/>
        <v>15</v>
      </c>
      <c r="G12" s="99">
        <f t="shared" si="2"/>
        <v>11.879999999999999</v>
      </c>
      <c r="H12" s="99">
        <f t="shared" si="2"/>
        <v>17.28</v>
      </c>
      <c r="I12" s="99">
        <f t="shared" si="2"/>
        <v>23.88</v>
      </c>
      <c r="J12" s="99">
        <f t="shared" si="2"/>
        <v>23.88</v>
      </c>
      <c r="K12" s="99">
        <f t="shared" si="2"/>
        <v>24.48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9">
        <v>1.42</v>
      </c>
      <c r="E13" s="99">
        <v>1.34</v>
      </c>
      <c r="F13" s="99">
        <v>1.2</v>
      </c>
      <c r="G13" s="99">
        <v>1.2</v>
      </c>
      <c r="H13" s="99">
        <v>1.19</v>
      </c>
      <c r="I13" s="99">
        <v>1.1200000000000001</v>
      </c>
      <c r="J13" s="99">
        <v>1.56</v>
      </c>
      <c r="K13" s="99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I14" s="101">
        <v>14</v>
      </c>
      <c r="J14" s="101">
        <v>14</v>
      </c>
      <c r="K14" s="101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26.459999999999997</v>
      </c>
      <c r="E15" s="96">
        <f t="shared" ref="E15:K15" si="3">E14*E4</f>
        <v>19.88</v>
      </c>
      <c r="F15" s="96">
        <f t="shared" si="3"/>
        <v>17.5</v>
      </c>
      <c r="G15" s="96">
        <f t="shared" si="3"/>
        <v>13.86</v>
      </c>
      <c r="H15" s="96">
        <f t="shared" si="3"/>
        <v>20.16</v>
      </c>
      <c r="I15" s="96">
        <f t="shared" si="3"/>
        <v>27.86</v>
      </c>
      <c r="J15" s="96">
        <f t="shared" si="3"/>
        <v>27.86</v>
      </c>
      <c r="K15" s="96">
        <f t="shared" si="3"/>
        <v>28.560000000000002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77.716799999999992</v>
      </c>
      <c r="E17" s="85">
        <f t="shared" ref="E17:K17" si="4">E10*E9+E13*E12+E16*E15</f>
        <v>56.033199999999994</v>
      </c>
      <c r="F17" s="85">
        <f t="shared" si="4"/>
        <v>46.174999999999997</v>
      </c>
      <c r="G17" s="85">
        <f t="shared" si="4"/>
        <v>36.154800000000002</v>
      </c>
      <c r="H17" s="85">
        <f t="shared" si="4"/>
        <v>52.416000000000004</v>
      </c>
      <c r="I17" s="85">
        <f t="shared" si="4"/>
        <v>69.650000000000006</v>
      </c>
      <c r="J17" s="85">
        <f t="shared" si="4"/>
        <v>80.714399999999998</v>
      </c>
      <c r="K17" s="85">
        <f t="shared" si="4"/>
        <v>133.66079999999999</v>
      </c>
    </row>
    <row r="18" spans="1:11" x14ac:dyDescent="0.25">
      <c r="A18" s="5" t="s">
        <v>173</v>
      </c>
      <c r="B18" s="40" t="s">
        <v>1</v>
      </c>
      <c r="C18" s="102" t="s">
        <v>177</v>
      </c>
      <c r="D18" s="31">
        <f>D17</f>
        <v>77.716799999999992</v>
      </c>
      <c r="E18" s="31">
        <f t="shared" ref="E18:K18" si="5">E17</f>
        <v>56.033199999999994</v>
      </c>
      <c r="F18" s="31">
        <f t="shared" si="5"/>
        <v>46.174999999999997</v>
      </c>
      <c r="G18" s="31">
        <f t="shared" si="5"/>
        <v>36.154800000000002</v>
      </c>
      <c r="H18" s="31">
        <f t="shared" si="5"/>
        <v>52.416000000000004</v>
      </c>
      <c r="I18" s="31">
        <f t="shared" si="5"/>
        <v>69.650000000000006</v>
      </c>
      <c r="J18" s="31">
        <f t="shared" si="5"/>
        <v>80.714399999999998</v>
      </c>
      <c r="K18" s="31">
        <f t="shared" si="5"/>
        <v>133.66079999999999</v>
      </c>
    </row>
    <row r="19" spans="1:11" ht="45" x14ac:dyDescent="0.25">
      <c r="A19" s="5" t="s">
        <v>0</v>
      </c>
      <c r="B19" s="5" t="s">
        <v>4</v>
      </c>
      <c r="C19" s="103" t="s">
        <v>5</v>
      </c>
      <c r="D19" s="37">
        <f>342+16+24</f>
        <v>382</v>
      </c>
      <c r="E19" s="34">
        <f>334+12+26</f>
        <v>372</v>
      </c>
      <c r="F19" s="34">
        <f>340+11+27</f>
        <v>378</v>
      </c>
      <c r="G19" s="34">
        <f>348+8+27</f>
        <v>383</v>
      </c>
      <c r="H19" s="34">
        <f>354+12+24</f>
        <v>390</v>
      </c>
      <c r="I19" s="34">
        <f>344+19+22</f>
        <v>385</v>
      </c>
      <c r="J19" s="34">
        <f>373+19+22</f>
        <v>414</v>
      </c>
      <c r="K19" s="34">
        <f>445+29+22</f>
        <v>496</v>
      </c>
    </row>
    <row r="20" spans="1:11" x14ac:dyDescent="0.25">
      <c r="A20" s="25" t="s">
        <v>0</v>
      </c>
      <c r="B20" t="s">
        <v>179</v>
      </c>
      <c r="C20" s="46" t="s">
        <v>177</v>
      </c>
      <c r="D20" s="107">
        <f t="shared" ref="D20:K20" si="6">D19+D7+D18</f>
        <v>637.43680000000006</v>
      </c>
      <c r="E20" s="107">
        <f t="shared" si="6"/>
        <v>604.8732</v>
      </c>
      <c r="F20" s="107">
        <f t="shared" si="6"/>
        <v>611.89499999999998</v>
      </c>
      <c r="G20" s="107">
        <f t="shared" si="6"/>
        <v>608.47479999999996</v>
      </c>
      <c r="H20" s="107">
        <f t="shared" si="6"/>
        <v>629.65600000000006</v>
      </c>
      <c r="I20" s="107">
        <f t="shared" si="6"/>
        <v>648.49</v>
      </c>
      <c r="J20" s="107">
        <f t="shared" si="6"/>
        <v>696.23439999999994</v>
      </c>
      <c r="K20" s="107">
        <f t="shared" si="6"/>
        <v>831.18079999999998</v>
      </c>
    </row>
    <row r="21" spans="1:11" x14ac:dyDescent="0.25">
      <c r="A21" s="5" t="s">
        <v>6</v>
      </c>
      <c r="B21" s="5"/>
      <c r="C21" s="102" t="s">
        <v>177</v>
      </c>
      <c r="D21" s="6">
        <f t="shared" ref="D21:K21" si="7">D6-D20</f>
        <v>208.30039999999997</v>
      </c>
      <c r="E21" s="6">
        <f t="shared" si="7"/>
        <v>36.966799999999921</v>
      </c>
      <c r="F21" s="6">
        <f t="shared" si="7"/>
        <v>-25.707499999999982</v>
      </c>
      <c r="G21" s="6">
        <f t="shared" si="7"/>
        <v>-154.47069999999997</v>
      </c>
      <c r="H21" s="6">
        <f t="shared" si="7"/>
        <v>7.6735999999998512</v>
      </c>
      <c r="I21" s="6">
        <f t="shared" si="7"/>
        <v>245.35829999999999</v>
      </c>
      <c r="J21" s="6">
        <f t="shared" si="7"/>
        <v>285.61170000000004</v>
      </c>
      <c r="K21" s="6">
        <f t="shared" si="7"/>
        <v>175.33479999999997</v>
      </c>
    </row>
    <row r="22" spans="1:11" x14ac:dyDescent="0.25">
      <c r="A22" s="5" t="s">
        <v>250</v>
      </c>
      <c r="B22" s="5"/>
      <c r="C22" s="102" t="s">
        <v>272</v>
      </c>
      <c r="D22" s="76">
        <f>31/2.21</f>
        <v>14.027149321266968</v>
      </c>
      <c r="E22" s="76">
        <f t="shared" ref="E22:K22" si="8">31/2.21</f>
        <v>14.027149321266968</v>
      </c>
      <c r="F22" s="76">
        <f t="shared" si="8"/>
        <v>14.027149321266968</v>
      </c>
      <c r="G22" s="76">
        <f t="shared" si="8"/>
        <v>14.027149321266968</v>
      </c>
      <c r="H22" s="76">
        <f t="shared" si="8"/>
        <v>14.027149321266968</v>
      </c>
      <c r="I22" s="76">
        <f t="shared" si="8"/>
        <v>14.027149321266968</v>
      </c>
      <c r="J22" s="76">
        <f t="shared" si="8"/>
        <v>14.027149321266968</v>
      </c>
      <c r="K22" s="76">
        <f t="shared" si="8"/>
        <v>14.027149321266968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ht="15.75" thickBot="1" x14ac:dyDescent="0.3">
      <c r="A24" s="5" t="s">
        <v>2</v>
      </c>
      <c r="B24" s="5" t="s">
        <v>181</v>
      </c>
      <c r="C24" s="5" t="s">
        <v>171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0.88</v>
      </c>
      <c r="E25" s="29">
        <v>1.18</v>
      </c>
      <c r="F25" s="29">
        <v>0.76</v>
      </c>
      <c r="G25" s="29">
        <v>1.1000000000000001</v>
      </c>
      <c r="H25" s="29">
        <v>1.59</v>
      </c>
      <c r="I25" s="29">
        <v>1.81</v>
      </c>
      <c r="J25" s="29">
        <v>1.78</v>
      </c>
      <c r="K25" s="29">
        <v>2.0699999999999998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1.01</v>
      </c>
      <c r="E26" s="29">
        <v>2.2999999999999998</v>
      </c>
      <c r="F26" s="29">
        <v>0.73</v>
      </c>
      <c r="G26" s="29">
        <v>1.1299999999999999</v>
      </c>
      <c r="H26" s="29">
        <v>1.59</v>
      </c>
      <c r="I26" s="29">
        <v>1</v>
      </c>
      <c r="J26" s="29">
        <v>0.97</v>
      </c>
      <c r="K26" s="29">
        <v>2.0699999999999998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1.6</v>
      </c>
      <c r="E27" s="29">
        <v>1.29</v>
      </c>
      <c r="F27" s="29">
        <v>0.72</v>
      </c>
      <c r="G27" s="29">
        <v>1.51</v>
      </c>
      <c r="H27" s="29">
        <v>1.28</v>
      </c>
      <c r="I27" s="29">
        <v>2.36</v>
      </c>
      <c r="J27" s="29">
        <v>2.68</v>
      </c>
      <c r="K27" s="29">
        <v>1.64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</v>
      </c>
      <c r="F28" s="29">
        <v>2</v>
      </c>
      <c r="G28" s="29">
        <v>1.1000000000000001</v>
      </c>
      <c r="H28" s="29">
        <v>1.59</v>
      </c>
      <c r="I28" s="29">
        <v>1.81</v>
      </c>
      <c r="J28" s="29">
        <v>1.78</v>
      </c>
      <c r="K28" s="29">
        <v>2.0699999999999998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2.96</v>
      </c>
      <c r="E29" s="29">
        <v>1.81</v>
      </c>
      <c r="F29" s="29">
        <v>1.77</v>
      </c>
      <c r="G29" s="29">
        <v>0.95</v>
      </c>
      <c r="H29" s="29">
        <v>1.76</v>
      </c>
      <c r="I29" s="29">
        <v>2.36</v>
      </c>
      <c r="J29" s="29">
        <v>2.14</v>
      </c>
      <c r="K29" s="29">
        <v>3.1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1.86</v>
      </c>
      <c r="E30" s="29">
        <v>1.83</v>
      </c>
      <c r="F30" s="29">
        <v>2.14</v>
      </c>
      <c r="G30" s="29">
        <v>1.82</v>
      </c>
      <c r="H30" s="29">
        <v>2.2999999999999998</v>
      </c>
      <c r="I30" s="29">
        <v>1.84</v>
      </c>
      <c r="J30" s="29">
        <v>2.75</v>
      </c>
      <c r="K30" s="29">
        <v>2.25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1.2</v>
      </c>
      <c r="E31" s="29">
        <v>1</v>
      </c>
      <c r="F31" s="29">
        <v>0.91</v>
      </c>
      <c r="G31" s="29">
        <v>0.44</v>
      </c>
      <c r="H31" s="29">
        <v>1.05</v>
      </c>
      <c r="I31" s="29">
        <v>1.52</v>
      </c>
      <c r="J31" s="29">
        <v>1.08</v>
      </c>
      <c r="K31" s="29">
        <v>1.08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87C-4B01-49BE-8A55-2309CCDC99B1}">
  <dimension ref="A3:K31"/>
  <sheetViews>
    <sheetView workbookViewId="0">
      <selection activeCell="M8" sqref="M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254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1.92</v>
      </c>
      <c r="E4" s="29">
        <v>0.96</v>
      </c>
      <c r="F4" s="29">
        <v>0.92</v>
      </c>
      <c r="G4" s="29">
        <v>1.0900000000000001</v>
      </c>
      <c r="H4" s="29">
        <v>1.72</v>
      </c>
      <c r="I4" s="29">
        <v>1.72</v>
      </c>
      <c r="J4" s="29">
        <v>1.85</v>
      </c>
      <c r="K4" s="29">
        <v>1.87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396</v>
      </c>
      <c r="E5" s="3">
        <v>400</v>
      </c>
      <c r="F5" s="3">
        <v>413.5</v>
      </c>
      <c r="G5" s="3">
        <v>402.86</v>
      </c>
      <c r="H5" s="3">
        <v>391.43</v>
      </c>
      <c r="I5" s="3">
        <v>399</v>
      </c>
      <c r="J5" s="3">
        <v>413.76</v>
      </c>
      <c r="K5" s="3">
        <v>408.9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760.31999999999994</v>
      </c>
      <c r="E6" s="32">
        <f t="shared" ref="E6:K6" si="0">E5*E4</f>
        <v>384</v>
      </c>
      <c r="F6" s="32">
        <f t="shared" si="0"/>
        <v>380.42</v>
      </c>
      <c r="G6" s="32">
        <f t="shared" si="0"/>
        <v>439.11740000000003</v>
      </c>
      <c r="H6" s="32">
        <f t="shared" si="0"/>
        <v>673.25959999999998</v>
      </c>
      <c r="I6" s="32">
        <f t="shared" si="0"/>
        <v>686.28</v>
      </c>
      <c r="J6" s="32">
        <f t="shared" si="0"/>
        <v>765.45600000000002</v>
      </c>
      <c r="K6" s="32">
        <f t="shared" si="0"/>
        <v>764.64300000000003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125.58</v>
      </c>
      <c r="E7" s="3">
        <v>125.58</v>
      </c>
      <c r="F7" s="3">
        <v>136.99</v>
      </c>
      <c r="G7" s="3">
        <v>137.16999999999999</v>
      </c>
      <c r="H7" s="3">
        <v>135.29</v>
      </c>
      <c r="I7" s="3">
        <v>139.06</v>
      </c>
      <c r="J7" s="3">
        <v>140.94</v>
      </c>
      <c r="K7" s="3">
        <v>140.94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11</v>
      </c>
      <c r="E11" s="106">
        <v>11</v>
      </c>
      <c r="F11" s="106">
        <v>11</v>
      </c>
      <c r="G11" s="106">
        <v>11</v>
      </c>
      <c r="H11" s="106">
        <v>11</v>
      </c>
      <c r="I11" s="106">
        <v>11</v>
      </c>
      <c r="J11" s="106">
        <v>11</v>
      </c>
      <c r="K11" s="106">
        <v>11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21.119999999999997</v>
      </c>
      <c r="E12" s="96">
        <f t="shared" ref="E12:K12" si="2">E11*E4</f>
        <v>10.559999999999999</v>
      </c>
      <c r="F12" s="96">
        <f t="shared" si="2"/>
        <v>10.120000000000001</v>
      </c>
      <c r="G12" s="96">
        <f t="shared" si="2"/>
        <v>11.99</v>
      </c>
      <c r="H12" s="96">
        <f t="shared" si="2"/>
        <v>18.919999999999998</v>
      </c>
      <c r="I12" s="96">
        <f t="shared" si="2"/>
        <v>18.919999999999998</v>
      </c>
      <c r="J12" s="96">
        <f t="shared" si="2"/>
        <v>20.350000000000001</v>
      </c>
      <c r="K12" s="96">
        <f t="shared" si="2"/>
        <v>20.57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0">
        <v>14</v>
      </c>
      <c r="F14" s="100">
        <v>14</v>
      </c>
      <c r="G14" s="100">
        <v>14</v>
      </c>
      <c r="H14" s="100">
        <v>14</v>
      </c>
      <c r="I14" s="100">
        <v>14</v>
      </c>
      <c r="J14" s="100">
        <v>14</v>
      </c>
      <c r="K14" s="100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26.88</v>
      </c>
      <c r="E15" s="96">
        <f t="shared" ref="E15:K15" si="3">E14*E4</f>
        <v>13.44</v>
      </c>
      <c r="F15" s="96">
        <f t="shared" si="3"/>
        <v>12.88</v>
      </c>
      <c r="G15" s="96">
        <f t="shared" si="3"/>
        <v>15.260000000000002</v>
      </c>
      <c r="H15" s="96">
        <f t="shared" si="3"/>
        <v>24.08</v>
      </c>
      <c r="I15" s="96">
        <f t="shared" si="3"/>
        <v>24.08</v>
      </c>
      <c r="J15" s="96">
        <f t="shared" si="3"/>
        <v>25.900000000000002</v>
      </c>
      <c r="K15" s="96">
        <f t="shared" si="3"/>
        <v>26.18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76.22399999999999</v>
      </c>
      <c r="E17" s="85">
        <f t="shared" ref="E17:K17" si="4">E10*E9+E13*E12+E16*E15</f>
        <v>36.595199999999998</v>
      </c>
      <c r="F17" s="85">
        <f t="shared" si="4"/>
        <v>32.880800000000001</v>
      </c>
      <c r="G17" s="85">
        <f t="shared" si="4"/>
        <v>38.498800000000003</v>
      </c>
      <c r="H17" s="85">
        <f t="shared" si="4"/>
        <v>60.561199999999999</v>
      </c>
      <c r="I17" s="85">
        <f t="shared" si="4"/>
        <v>58.273600000000002</v>
      </c>
      <c r="J17" s="85">
        <f t="shared" si="4"/>
        <v>72.150000000000006</v>
      </c>
      <c r="K17" s="85">
        <f t="shared" si="4"/>
        <v>117.81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76.22399999999999</v>
      </c>
      <c r="E18" s="31">
        <f t="shared" ref="E18:K18" si="5">E17</f>
        <v>36.595199999999998</v>
      </c>
      <c r="F18" s="31">
        <f t="shared" si="5"/>
        <v>32.880800000000001</v>
      </c>
      <c r="G18" s="31">
        <f t="shared" si="5"/>
        <v>38.498800000000003</v>
      </c>
      <c r="H18" s="31">
        <f t="shared" si="5"/>
        <v>60.561199999999999</v>
      </c>
      <c r="I18" s="31">
        <f t="shared" si="5"/>
        <v>58.273600000000002</v>
      </c>
      <c r="J18" s="31">
        <f t="shared" si="5"/>
        <v>72.150000000000006</v>
      </c>
      <c r="K18" s="31">
        <f t="shared" si="5"/>
        <v>117.81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284+11+24</f>
        <v>319</v>
      </c>
      <c r="E19" s="34">
        <f>273+6+25</f>
        <v>304</v>
      </c>
      <c r="F19" s="34">
        <f>278+5+27</f>
        <v>310</v>
      </c>
      <c r="G19" s="34">
        <f>288+6.5+27</f>
        <v>321.5</v>
      </c>
      <c r="H19" s="34">
        <f>294+10+24</f>
        <v>328</v>
      </c>
      <c r="I19" s="34">
        <f>284+11+22</f>
        <v>317</v>
      </c>
      <c r="J19" s="34">
        <f>308+12+23</f>
        <v>343</v>
      </c>
      <c r="K19" s="34">
        <f>366+18+22</f>
        <v>406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520.80399999999997</v>
      </c>
      <c r="E20" s="38">
        <f t="shared" si="6"/>
        <v>466.17519999999996</v>
      </c>
      <c r="F20" s="38">
        <f t="shared" si="6"/>
        <v>479.87080000000003</v>
      </c>
      <c r="G20" s="38">
        <f t="shared" si="6"/>
        <v>497.16879999999998</v>
      </c>
      <c r="H20" s="38">
        <f t="shared" si="6"/>
        <v>523.85119999999995</v>
      </c>
      <c r="I20" s="38">
        <f t="shared" si="6"/>
        <v>514.33360000000005</v>
      </c>
      <c r="J20" s="38">
        <f t="shared" si="6"/>
        <v>556.09</v>
      </c>
      <c r="K20" s="38">
        <f t="shared" si="6"/>
        <v>664.75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7">D6-D20</f>
        <v>239.51599999999996</v>
      </c>
      <c r="E21" s="55">
        <f t="shared" si="7"/>
        <v>-82.175199999999961</v>
      </c>
      <c r="F21" s="55">
        <f t="shared" si="7"/>
        <v>-99.450800000000015</v>
      </c>
      <c r="G21" s="55">
        <f t="shared" si="7"/>
        <v>-58.051399999999944</v>
      </c>
      <c r="H21" s="55">
        <f t="shared" si="7"/>
        <v>149.40840000000003</v>
      </c>
      <c r="I21" s="55">
        <f t="shared" si="7"/>
        <v>171.94639999999993</v>
      </c>
      <c r="J21" s="55">
        <f t="shared" si="7"/>
        <v>209.36599999999999</v>
      </c>
      <c r="K21" s="55">
        <f t="shared" si="7"/>
        <v>99.893000000000029</v>
      </c>
    </row>
    <row r="22" spans="1:11" x14ac:dyDescent="0.25">
      <c r="A22" s="5" t="s">
        <v>250</v>
      </c>
      <c r="B22" s="5"/>
      <c r="C22" s="5" t="s">
        <v>272</v>
      </c>
      <c r="D22" s="75">
        <f>28/2.35</f>
        <v>11.914893617021276</v>
      </c>
      <c r="E22" s="75">
        <f t="shared" ref="E22:K22" si="8">28/2.35</f>
        <v>11.914893617021276</v>
      </c>
      <c r="F22" s="75">
        <f t="shared" si="8"/>
        <v>11.914893617021276</v>
      </c>
      <c r="G22" s="75">
        <f t="shared" si="8"/>
        <v>11.914893617021276</v>
      </c>
      <c r="H22" s="75">
        <f t="shared" si="8"/>
        <v>11.914893617021276</v>
      </c>
      <c r="I22" s="75">
        <f t="shared" si="8"/>
        <v>11.914893617021276</v>
      </c>
      <c r="J22" s="75">
        <f t="shared" si="8"/>
        <v>11.914893617021276</v>
      </c>
      <c r="K22" s="75">
        <f t="shared" si="8"/>
        <v>11.914893617021276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EA9-9258-4565-AEAD-FD9FAEABA1DC}">
  <dimension ref="A3:K31"/>
  <sheetViews>
    <sheetView workbookViewId="0">
      <selection activeCell="D14" sqref="D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2.0699999999999998</v>
      </c>
      <c r="E4" s="29">
        <v>2.88</v>
      </c>
      <c r="F4" s="29">
        <v>2.29</v>
      </c>
      <c r="G4" s="29">
        <v>2.4300000000000002</v>
      </c>
      <c r="H4" s="29">
        <v>2.2999999999999998</v>
      </c>
      <c r="I4" s="29">
        <v>2.4900000000000002</v>
      </c>
      <c r="J4" s="29">
        <v>2.89</v>
      </c>
      <c r="K4" s="29">
        <v>2.0299999999999998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824.9</v>
      </c>
      <c r="E5" s="3">
        <v>711.9</v>
      </c>
      <c r="F5" s="3">
        <v>768.4</v>
      </c>
      <c r="G5" s="3">
        <v>718.75</v>
      </c>
      <c r="H5" s="3">
        <v>717.9</v>
      </c>
      <c r="I5" s="3">
        <v>697.78</v>
      </c>
      <c r="J5" s="3">
        <v>859.2</v>
      </c>
      <c r="K5" s="3">
        <v>886.63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1707.5429999999999</v>
      </c>
      <c r="E6" s="32">
        <f t="shared" ref="E6:K6" si="0">E5*E4</f>
        <v>2050.2719999999999</v>
      </c>
      <c r="F6" s="32">
        <f t="shared" si="0"/>
        <v>1759.636</v>
      </c>
      <c r="G6" s="32">
        <f t="shared" si="0"/>
        <v>1746.5625000000002</v>
      </c>
      <c r="H6" s="32">
        <f t="shared" si="0"/>
        <v>1651.1699999999998</v>
      </c>
      <c r="I6" s="32">
        <f t="shared" si="0"/>
        <v>1737.4722000000002</v>
      </c>
      <c r="J6" s="32">
        <f t="shared" si="0"/>
        <v>2483.0880000000002</v>
      </c>
      <c r="K6" s="32">
        <f t="shared" si="0"/>
        <v>1799.8588999999997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286.8</v>
      </c>
      <c r="E7" s="3">
        <v>286.69</v>
      </c>
      <c r="F7" s="3">
        <v>289.5</v>
      </c>
      <c r="G7" s="3">
        <v>286.7</v>
      </c>
      <c r="H7" s="3">
        <v>288.08</v>
      </c>
      <c r="I7" s="3">
        <v>288.06</v>
      </c>
      <c r="J7" s="3">
        <v>292.33999999999997</v>
      </c>
      <c r="K7" s="3">
        <v>347.36</v>
      </c>
    </row>
    <row r="8" spans="1:1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8">
        <v>15</v>
      </c>
      <c r="E11" s="106">
        <v>15</v>
      </c>
      <c r="F11" s="106">
        <v>15</v>
      </c>
      <c r="G11" s="106">
        <v>15</v>
      </c>
      <c r="H11" s="106">
        <v>15</v>
      </c>
      <c r="I11" s="106">
        <v>15</v>
      </c>
      <c r="J11" s="106">
        <v>15</v>
      </c>
      <c r="K11" s="106">
        <v>15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31.049999999999997</v>
      </c>
      <c r="E12" s="96">
        <f t="shared" ref="E12:K12" si="2">E11*E4</f>
        <v>43.199999999999996</v>
      </c>
      <c r="F12" s="96">
        <f t="shared" si="2"/>
        <v>34.35</v>
      </c>
      <c r="G12" s="96">
        <f t="shared" si="2"/>
        <v>36.450000000000003</v>
      </c>
      <c r="H12" s="96">
        <f t="shared" si="2"/>
        <v>34.5</v>
      </c>
      <c r="I12" s="96">
        <f t="shared" si="2"/>
        <v>37.35</v>
      </c>
      <c r="J12" s="96">
        <f t="shared" si="2"/>
        <v>43.35</v>
      </c>
      <c r="K12" s="96">
        <f t="shared" si="2"/>
        <v>30.449999999999996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17</v>
      </c>
      <c r="E14" s="100">
        <v>17</v>
      </c>
      <c r="F14" s="100">
        <v>17</v>
      </c>
      <c r="G14" s="100">
        <v>17</v>
      </c>
      <c r="H14" s="100">
        <v>17</v>
      </c>
      <c r="I14" s="100">
        <v>17</v>
      </c>
      <c r="J14" s="100">
        <v>17</v>
      </c>
      <c r="K14" s="100">
        <v>17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35.19</v>
      </c>
      <c r="E15" s="96">
        <f t="shared" ref="E15:K15" si="3">E14*E4</f>
        <v>48.96</v>
      </c>
      <c r="F15" s="96">
        <f t="shared" si="3"/>
        <v>38.93</v>
      </c>
      <c r="G15" s="96">
        <f t="shared" si="3"/>
        <v>41.31</v>
      </c>
      <c r="H15" s="96">
        <f t="shared" si="3"/>
        <v>39.099999999999994</v>
      </c>
      <c r="I15" s="96">
        <f t="shared" si="3"/>
        <v>42.330000000000005</v>
      </c>
      <c r="J15" s="96">
        <f t="shared" si="3"/>
        <v>49.13</v>
      </c>
      <c r="K15" s="96">
        <f t="shared" si="3"/>
        <v>34.51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104.61779999999999</v>
      </c>
      <c r="E17" s="85">
        <f t="shared" ref="E17:K17" si="4">E10*E9+E13*E12+E16*E15</f>
        <v>139.65119999999999</v>
      </c>
      <c r="F17" s="85">
        <f t="shared" si="4"/>
        <v>103.8973</v>
      </c>
      <c r="G17" s="85">
        <f t="shared" si="4"/>
        <v>109.00980000000001</v>
      </c>
      <c r="H17" s="85">
        <f t="shared" si="4"/>
        <v>102.833</v>
      </c>
      <c r="I17" s="85">
        <f t="shared" si="4"/>
        <v>107.02020000000002</v>
      </c>
      <c r="J17" s="85">
        <f t="shared" si="4"/>
        <v>144.2688</v>
      </c>
      <c r="K17" s="85">
        <f t="shared" si="4"/>
        <v>163.69919999999999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104.61779999999999</v>
      </c>
      <c r="E18" s="31">
        <f t="shared" ref="E18:K18" si="5">E17</f>
        <v>139.65119999999999</v>
      </c>
      <c r="F18" s="31">
        <f t="shared" si="5"/>
        <v>103.8973</v>
      </c>
      <c r="G18" s="31">
        <f t="shared" si="5"/>
        <v>109.00980000000001</v>
      </c>
      <c r="H18" s="31">
        <f t="shared" si="5"/>
        <v>102.833</v>
      </c>
      <c r="I18" s="31">
        <f t="shared" si="5"/>
        <v>107.02020000000002</v>
      </c>
      <c r="J18" s="31">
        <f t="shared" si="5"/>
        <v>144.2688</v>
      </c>
      <c r="K18" s="31">
        <f t="shared" si="5"/>
        <v>163.69919999999999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342+4+24</f>
        <v>370</v>
      </c>
      <c r="E19" s="37">
        <f>347+5+26</f>
        <v>378</v>
      </c>
      <c r="F19" s="34">
        <f>350+4+27</f>
        <v>381</v>
      </c>
      <c r="G19" s="34">
        <f>363+5+27</f>
        <v>395</v>
      </c>
      <c r="H19" s="34">
        <f>364+4+24</f>
        <v>392</v>
      </c>
      <c r="I19" s="34">
        <f>349+5+23</f>
        <v>377</v>
      </c>
      <c r="J19" s="34">
        <f>386+5+23</f>
        <v>414</v>
      </c>
      <c r="K19" s="34">
        <f>447+5+23</f>
        <v>475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761.41779999999994</v>
      </c>
      <c r="E20" s="38">
        <f t="shared" si="6"/>
        <v>804.34120000000007</v>
      </c>
      <c r="F20" s="38">
        <f t="shared" si="6"/>
        <v>774.39729999999997</v>
      </c>
      <c r="G20" s="38">
        <f t="shared" si="6"/>
        <v>790.70980000000009</v>
      </c>
      <c r="H20" s="38">
        <f t="shared" si="6"/>
        <v>782.9129999999999</v>
      </c>
      <c r="I20" s="38">
        <f t="shared" si="6"/>
        <v>772.08019999999999</v>
      </c>
      <c r="J20" s="38">
        <f t="shared" si="6"/>
        <v>850.60879999999997</v>
      </c>
      <c r="K20" s="38">
        <f t="shared" si="6"/>
        <v>986.05920000000003</v>
      </c>
    </row>
    <row r="21" spans="1:11" x14ac:dyDescent="0.25">
      <c r="A21" s="5" t="s">
        <v>6</v>
      </c>
      <c r="B21" s="5"/>
      <c r="C21" s="5" t="s">
        <v>177</v>
      </c>
      <c r="D21" s="6">
        <f t="shared" ref="D21:K21" si="7">D6-D20</f>
        <v>946.12519999999995</v>
      </c>
      <c r="E21" s="6">
        <f t="shared" si="7"/>
        <v>1245.9307999999999</v>
      </c>
      <c r="F21" s="6">
        <f t="shared" si="7"/>
        <v>985.23869999999999</v>
      </c>
      <c r="G21" s="6">
        <f t="shared" si="7"/>
        <v>955.85270000000014</v>
      </c>
      <c r="H21" s="6">
        <f t="shared" si="7"/>
        <v>868.25699999999995</v>
      </c>
      <c r="I21" s="6">
        <f t="shared" si="7"/>
        <v>965.39200000000017</v>
      </c>
      <c r="J21" s="6">
        <f t="shared" si="7"/>
        <v>1632.4792000000002</v>
      </c>
      <c r="K21" s="6">
        <f t="shared" si="7"/>
        <v>813.79969999999969</v>
      </c>
    </row>
    <row r="22" spans="1:11" x14ac:dyDescent="0.25">
      <c r="A22" s="5" t="s">
        <v>266</v>
      </c>
      <c r="C22" s="25" t="s">
        <v>271</v>
      </c>
      <c r="D22" s="76">
        <f>43/2.66</f>
        <v>16.165413533834585</v>
      </c>
      <c r="E22" s="76">
        <f t="shared" ref="E22:K22" si="8">43/2.66</f>
        <v>16.165413533834585</v>
      </c>
      <c r="F22" s="76">
        <f t="shared" si="8"/>
        <v>16.165413533834585</v>
      </c>
      <c r="G22" s="76">
        <f t="shared" si="8"/>
        <v>16.165413533834585</v>
      </c>
      <c r="H22" s="76">
        <f t="shared" si="8"/>
        <v>16.165413533834585</v>
      </c>
      <c r="I22" s="76">
        <f t="shared" si="8"/>
        <v>16.165413533834585</v>
      </c>
      <c r="J22" s="76">
        <f t="shared" si="8"/>
        <v>16.165413533834585</v>
      </c>
      <c r="K22" s="76">
        <f t="shared" si="8"/>
        <v>16.165413533834585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" t="s">
        <v>2</v>
      </c>
      <c r="B24" s="5" t="s">
        <v>181</v>
      </c>
      <c r="C24" s="5" t="s">
        <v>171</v>
      </c>
      <c r="D24" s="58"/>
      <c r="E24" s="58"/>
      <c r="F24" s="58"/>
      <c r="G24" s="58"/>
      <c r="H24" s="58"/>
      <c r="I24" s="58"/>
      <c r="J24" s="58"/>
      <c r="K24" s="58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9"/>
      <c r="E25" s="59"/>
      <c r="F25" s="59"/>
      <c r="G25" s="59"/>
      <c r="H25" s="59"/>
      <c r="I25" s="59"/>
      <c r="J25" s="59"/>
      <c r="K25" s="59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1.0900000000000001</v>
      </c>
      <c r="E26" s="39">
        <v>1.77</v>
      </c>
      <c r="F26" s="39">
        <v>2.36</v>
      </c>
      <c r="G26" s="39">
        <v>2.4700000000000002</v>
      </c>
      <c r="H26" s="39">
        <v>2.16</v>
      </c>
      <c r="I26" s="39">
        <v>1.84</v>
      </c>
      <c r="J26" s="39">
        <v>2.4700000000000002</v>
      </c>
      <c r="K26" s="39">
        <v>1.64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1.43</v>
      </c>
      <c r="E27" s="29">
        <v>3.55</v>
      </c>
      <c r="F27" s="29">
        <v>1.76</v>
      </c>
      <c r="G27" s="29">
        <v>1.93</v>
      </c>
      <c r="H27" s="29">
        <v>2.37</v>
      </c>
      <c r="I27" s="29">
        <v>2.27</v>
      </c>
      <c r="J27" s="29">
        <v>2.04</v>
      </c>
      <c r="K27" s="29">
        <v>2.36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2.52</v>
      </c>
      <c r="E28" s="29">
        <v>2.46</v>
      </c>
      <c r="F28" s="29">
        <v>3.18</v>
      </c>
      <c r="G28" s="29">
        <v>2.2999999999999998</v>
      </c>
      <c r="H28" s="29">
        <v>1.9</v>
      </c>
      <c r="I28" s="29">
        <v>2.2999999999999998</v>
      </c>
      <c r="J28" s="29">
        <v>2.83</v>
      </c>
      <c r="K28" s="29">
        <v>2.8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2.3199999999999998</v>
      </c>
      <c r="E29" s="29">
        <v>3.03</v>
      </c>
      <c r="F29" s="29">
        <v>2.4500000000000002</v>
      </c>
      <c r="G29" s="29">
        <v>2.31</v>
      </c>
      <c r="H29" s="29">
        <v>2.16</v>
      </c>
      <c r="I29" s="29">
        <v>2.27</v>
      </c>
      <c r="J29" s="29">
        <v>2.7</v>
      </c>
      <c r="K29" s="29">
        <v>2.98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2.3199999999999998</v>
      </c>
      <c r="E30" s="29">
        <v>3.3</v>
      </c>
      <c r="F30" s="29">
        <v>2.31</v>
      </c>
      <c r="G30" s="29">
        <v>2.14</v>
      </c>
      <c r="H30" s="29">
        <v>2.14</v>
      </c>
      <c r="I30" s="29">
        <v>2.61</v>
      </c>
      <c r="J30" s="29">
        <v>2.75</v>
      </c>
      <c r="K30" s="29">
        <v>2.1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</v>
      </c>
      <c r="E31" s="39">
        <v>3.06</v>
      </c>
      <c r="F31" s="39">
        <v>2.11</v>
      </c>
      <c r="G31" s="39">
        <v>2.5099999999999998</v>
      </c>
      <c r="H31" s="39">
        <v>2.37</v>
      </c>
      <c r="I31" s="39">
        <v>2.52</v>
      </c>
      <c r="J31" s="39">
        <v>2.97</v>
      </c>
      <c r="K31" s="39">
        <v>1.87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34B-CAF0-42EB-BBA2-BA7638DC8688}">
  <dimension ref="A3:U32"/>
  <sheetViews>
    <sheetView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249</v>
      </c>
      <c r="B4" s="5"/>
      <c r="C4" s="5" t="s">
        <v>171</v>
      </c>
      <c r="D4" s="29">
        <v>2.69</v>
      </c>
      <c r="E4" s="29">
        <v>2.5100000000000002</v>
      </c>
      <c r="F4" s="29">
        <v>2.1100000000000003</v>
      </c>
      <c r="G4" s="29">
        <v>2.08</v>
      </c>
      <c r="H4" s="29">
        <v>2.0699999999999998</v>
      </c>
      <c r="I4" s="29">
        <v>1.56</v>
      </c>
      <c r="J4" s="29">
        <v>2.0699999999999998</v>
      </c>
      <c r="K4" s="29">
        <v>2.0699999999999998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5" t="s">
        <v>175</v>
      </c>
      <c r="B5" s="40" t="s">
        <v>1</v>
      </c>
      <c r="C5" s="5" t="s">
        <v>178</v>
      </c>
      <c r="D5" s="3">
        <v>542.4</v>
      </c>
      <c r="E5" s="3">
        <v>540.70000000000005</v>
      </c>
      <c r="F5" s="3">
        <v>518</v>
      </c>
      <c r="G5" s="3">
        <v>539.4</v>
      </c>
      <c r="H5" s="3">
        <v>636.70000000000005</v>
      </c>
      <c r="I5" s="3">
        <v>752.2</v>
      </c>
      <c r="J5" s="3">
        <v>664.9</v>
      </c>
      <c r="K5" s="3">
        <v>597.4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1459.0559999999998</v>
      </c>
      <c r="E6" s="32">
        <f t="shared" ref="E6:K6" si="0">E5*E4</f>
        <v>1357.1570000000002</v>
      </c>
      <c r="F6" s="32">
        <f t="shared" si="0"/>
        <v>1092.9800000000002</v>
      </c>
      <c r="G6" s="32">
        <f t="shared" si="0"/>
        <v>1121.952</v>
      </c>
      <c r="H6" s="32">
        <f t="shared" si="0"/>
        <v>1317.9690000000001</v>
      </c>
      <c r="I6" s="32">
        <f t="shared" si="0"/>
        <v>1173.432</v>
      </c>
      <c r="J6" s="32">
        <f t="shared" si="0"/>
        <v>1376.3429999999998</v>
      </c>
      <c r="K6" s="32">
        <f t="shared" si="0"/>
        <v>1236.6179999999999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195.7</v>
      </c>
      <c r="E7" s="3">
        <v>195.7</v>
      </c>
      <c r="F7" s="3">
        <v>203.2</v>
      </c>
      <c r="G7" s="3">
        <v>203.2</v>
      </c>
      <c r="H7" s="3">
        <v>203.2</v>
      </c>
      <c r="I7" s="3">
        <v>210.9</v>
      </c>
      <c r="J7" s="3">
        <v>207.7</v>
      </c>
      <c r="K7" s="3">
        <v>207.7</v>
      </c>
    </row>
    <row r="8" spans="1:2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2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2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1" x14ac:dyDescent="0.25">
      <c r="A11" s="5" t="s">
        <v>307</v>
      </c>
      <c r="B11" s="40" t="s">
        <v>1</v>
      </c>
      <c r="C11" s="102" t="s">
        <v>309</v>
      </c>
      <c r="D11" s="109">
        <f>1.32*10/0.86</f>
        <v>15.348837209302326</v>
      </c>
      <c r="E11" s="109">
        <f t="shared" ref="E11:K11" si="2">1.32*10/0.86</f>
        <v>15.348837209302326</v>
      </c>
      <c r="F11" s="109">
        <f t="shared" si="2"/>
        <v>15.348837209302326</v>
      </c>
      <c r="G11" s="109">
        <f t="shared" si="2"/>
        <v>15.348837209302326</v>
      </c>
      <c r="H11" s="109">
        <f t="shared" si="2"/>
        <v>15.348837209302326</v>
      </c>
      <c r="I11" s="109">
        <f t="shared" si="2"/>
        <v>15.348837209302326</v>
      </c>
      <c r="J11" s="109">
        <f t="shared" si="2"/>
        <v>15.348837209302326</v>
      </c>
      <c r="K11" s="109">
        <f t="shared" si="2"/>
        <v>15.348837209302326</v>
      </c>
    </row>
    <row r="12" spans="1:21" x14ac:dyDescent="0.25">
      <c r="A12" s="5" t="s">
        <v>307</v>
      </c>
      <c r="B12" s="40" t="s">
        <v>1</v>
      </c>
      <c r="C12" s="102" t="s">
        <v>310</v>
      </c>
      <c r="D12" s="96">
        <f>D11*D4</f>
        <v>41.288372093023256</v>
      </c>
      <c r="E12" s="96">
        <f t="shared" ref="E12:K12" si="3">E11*E4</f>
        <v>38.525581395348844</v>
      </c>
      <c r="F12" s="96">
        <f t="shared" si="3"/>
        <v>32.38604651162791</v>
      </c>
      <c r="G12" s="96">
        <f t="shared" si="3"/>
        <v>31.925581395348839</v>
      </c>
      <c r="H12" s="96">
        <f t="shared" si="3"/>
        <v>31.772093023255813</v>
      </c>
      <c r="I12" s="96">
        <f t="shared" si="3"/>
        <v>23.944186046511629</v>
      </c>
      <c r="J12" s="96">
        <f t="shared" si="3"/>
        <v>31.772093023255813</v>
      </c>
      <c r="K12" s="96">
        <f t="shared" si="3"/>
        <v>31.772093023255813</v>
      </c>
    </row>
    <row r="13" spans="1:2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102" t="s">
        <v>312</v>
      </c>
      <c r="D14" s="101">
        <f>0.99*10/0.86</f>
        <v>11.511627906976745</v>
      </c>
      <c r="E14" s="101">
        <f t="shared" ref="E14:K14" si="4">0.99*10/0.86</f>
        <v>11.511627906976745</v>
      </c>
      <c r="F14" s="101">
        <f t="shared" si="4"/>
        <v>11.511627906976745</v>
      </c>
      <c r="G14" s="101">
        <f t="shared" si="4"/>
        <v>11.511627906976745</v>
      </c>
      <c r="H14" s="101">
        <f t="shared" si="4"/>
        <v>11.511627906976745</v>
      </c>
      <c r="I14" s="101">
        <f t="shared" si="4"/>
        <v>11.511627906976745</v>
      </c>
      <c r="J14" s="101">
        <f t="shared" si="4"/>
        <v>11.511627906976745</v>
      </c>
      <c r="K14" s="101">
        <f t="shared" si="4"/>
        <v>11.511627906976745</v>
      </c>
    </row>
    <row r="15" spans="1:21" x14ac:dyDescent="0.25">
      <c r="A15" s="5" t="s">
        <v>308</v>
      </c>
      <c r="B15" s="40" t="s">
        <v>1</v>
      </c>
      <c r="C15" s="102" t="s">
        <v>313</v>
      </c>
      <c r="D15" s="96">
        <f>D14*D4</f>
        <v>30.966279069767445</v>
      </c>
      <c r="E15" s="96">
        <f t="shared" ref="E15:K15" si="5">E14*E4</f>
        <v>28.894186046511631</v>
      </c>
      <c r="F15" s="96">
        <f t="shared" si="5"/>
        <v>24.289534883720936</v>
      </c>
      <c r="G15" s="96">
        <f t="shared" si="5"/>
        <v>23.944186046511632</v>
      </c>
      <c r="H15" s="96">
        <f t="shared" si="5"/>
        <v>23.829069767441862</v>
      </c>
      <c r="I15" s="96">
        <f t="shared" si="5"/>
        <v>17.958139534883724</v>
      </c>
      <c r="J15" s="96">
        <f t="shared" si="5"/>
        <v>23.829069767441862</v>
      </c>
      <c r="K15" s="96">
        <f t="shared" si="5"/>
        <v>23.829069767441862</v>
      </c>
    </row>
    <row r="16" spans="1:2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111.89148837209302</v>
      </c>
      <c r="E17" s="85">
        <f t="shared" ref="E17:K17" si="6">E10*E9+E13*E12+E16*E15</f>
        <v>99.877569767441884</v>
      </c>
      <c r="F17" s="85">
        <f t="shared" si="6"/>
        <v>77.96940697674421</v>
      </c>
      <c r="G17" s="85">
        <f t="shared" si="6"/>
        <v>76.142511627906984</v>
      </c>
      <c r="H17" s="85">
        <f t="shared" si="6"/>
        <v>75.458720930232559</v>
      </c>
      <c r="I17" s="85">
        <f t="shared" si="6"/>
        <v>54.473023255813963</v>
      </c>
      <c r="J17" s="85">
        <f t="shared" si="6"/>
        <v>86.73781395348837</v>
      </c>
      <c r="K17" s="85">
        <f t="shared" si="6"/>
        <v>140.11493023255815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111.89148837209302</v>
      </c>
      <c r="E18" s="31">
        <f t="shared" ref="E18:K18" si="7">E17</f>
        <v>99.877569767441884</v>
      </c>
      <c r="F18" s="31">
        <f t="shared" si="7"/>
        <v>77.96940697674421</v>
      </c>
      <c r="G18" s="31">
        <f t="shared" si="7"/>
        <v>76.142511627906984</v>
      </c>
      <c r="H18" s="31">
        <f t="shared" si="7"/>
        <v>75.458720930232559</v>
      </c>
      <c r="I18" s="31">
        <f t="shared" si="7"/>
        <v>54.473023255813963</v>
      </c>
      <c r="J18" s="31">
        <f t="shared" si="7"/>
        <v>86.73781395348837</v>
      </c>
      <c r="K18" s="31">
        <f t="shared" si="7"/>
        <v>140.11493023255815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354+27+52+52</f>
        <v>485</v>
      </c>
      <c r="E19" s="37">
        <f>354+27+52+52</f>
        <v>485</v>
      </c>
      <c r="F19" s="34">
        <f>348+28+43+50</f>
        <v>469</v>
      </c>
      <c r="G19" s="34">
        <f>(F19+H19)/2</f>
        <v>478</v>
      </c>
      <c r="H19" s="34">
        <f>359+25+52+51</f>
        <v>487</v>
      </c>
      <c r="I19" s="34">
        <f>385+21+64+50</f>
        <v>520</v>
      </c>
      <c r="J19" s="34">
        <f>391+27+93+58</f>
        <v>569</v>
      </c>
      <c r="K19" s="34">
        <f>395+27+102+51</f>
        <v>575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792.59148837209307</v>
      </c>
      <c r="E20" s="38">
        <f t="shared" si="8"/>
        <v>780.5775697674419</v>
      </c>
      <c r="F20" s="38">
        <f t="shared" si="8"/>
        <v>750.16940697674431</v>
      </c>
      <c r="G20" s="38">
        <f t="shared" si="8"/>
        <v>757.34251162790702</v>
      </c>
      <c r="H20" s="38">
        <f t="shared" si="8"/>
        <v>765.65872093023256</v>
      </c>
      <c r="I20" s="38">
        <f t="shared" si="8"/>
        <v>785.37302325581391</v>
      </c>
      <c r="J20" s="38">
        <f t="shared" si="8"/>
        <v>863.43781395348844</v>
      </c>
      <c r="K20" s="38">
        <f t="shared" si="8"/>
        <v>922.81493023255825</v>
      </c>
    </row>
    <row r="21" spans="1:11" x14ac:dyDescent="0.25">
      <c r="A21" s="5" t="s">
        <v>6</v>
      </c>
      <c r="B21" s="5"/>
      <c r="C21" s="5" t="s">
        <v>177</v>
      </c>
      <c r="D21" s="74">
        <f t="shared" ref="D21:K21" si="9">D6-D20</f>
        <v>666.46451162790675</v>
      </c>
      <c r="E21" s="74">
        <f t="shared" si="9"/>
        <v>576.57943023255825</v>
      </c>
      <c r="F21" s="74">
        <f t="shared" si="9"/>
        <v>342.81059302325593</v>
      </c>
      <c r="G21" s="74">
        <f t="shared" si="9"/>
        <v>364.60948837209298</v>
      </c>
      <c r="H21" s="74">
        <f t="shared" si="9"/>
        <v>552.31027906976749</v>
      </c>
      <c r="I21" s="74">
        <f t="shared" si="9"/>
        <v>388.05897674418611</v>
      </c>
      <c r="J21" s="74">
        <f t="shared" si="9"/>
        <v>512.9051860465114</v>
      </c>
      <c r="K21" s="74">
        <f t="shared" si="9"/>
        <v>313.80306976744168</v>
      </c>
    </row>
    <row r="22" spans="1:11" x14ac:dyDescent="0.25">
      <c r="A22" s="5" t="s">
        <v>266</v>
      </c>
      <c r="B22" s="5"/>
      <c r="C22" s="5" t="s">
        <v>219</v>
      </c>
      <c r="D22" s="57">
        <f>33/2.07*D4</f>
        <v>42.884057971014499</v>
      </c>
      <c r="E22" s="57">
        <f t="shared" ref="E22:K22" si="10">33/2.07*E4</f>
        <v>40.014492753623195</v>
      </c>
      <c r="F22" s="57">
        <f t="shared" si="10"/>
        <v>33.637681159420296</v>
      </c>
      <c r="G22" s="57">
        <f t="shared" si="10"/>
        <v>33.159420289855078</v>
      </c>
      <c r="H22" s="57">
        <f t="shared" si="10"/>
        <v>33</v>
      </c>
      <c r="I22" s="57">
        <f t="shared" si="10"/>
        <v>24.869565217391308</v>
      </c>
      <c r="J22" s="57">
        <f t="shared" si="10"/>
        <v>33</v>
      </c>
      <c r="K22" s="57">
        <f t="shared" si="10"/>
        <v>33</v>
      </c>
    </row>
    <row r="23" spans="1:11" x14ac:dyDescent="0.25">
      <c r="A23" s="5" t="s">
        <v>266</v>
      </c>
      <c r="C23" s="25" t="s">
        <v>271</v>
      </c>
      <c r="D23" s="75">
        <f>33/2.07</f>
        <v>15.942028985507248</v>
      </c>
      <c r="E23" s="75">
        <f t="shared" ref="E23:K23" si="11">33/2.07</f>
        <v>15.942028985507248</v>
      </c>
      <c r="F23" s="75">
        <f t="shared" si="11"/>
        <v>15.942028985507248</v>
      </c>
      <c r="G23" s="75">
        <f t="shared" si="11"/>
        <v>15.942028985507248</v>
      </c>
      <c r="H23" s="75">
        <f t="shared" si="11"/>
        <v>15.942028985507248</v>
      </c>
      <c r="I23" s="75">
        <f t="shared" si="11"/>
        <v>15.942028985507248</v>
      </c>
      <c r="J23" s="75">
        <f t="shared" si="11"/>
        <v>15.942028985507248</v>
      </c>
      <c r="K23" s="75">
        <f t="shared" si="11"/>
        <v>15.942028985507248</v>
      </c>
    </row>
    <row r="24" spans="1:11" x14ac:dyDescent="0.25">
      <c r="B24" s="2" t="s">
        <v>180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" t="s">
        <v>2</v>
      </c>
      <c r="B25" s="5" t="s">
        <v>181</v>
      </c>
      <c r="C25" s="5" t="s">
        <v>171</v>
      </c>
      <c r="D25" s="58"/>
      <c r="E25" s="58"/>
      <c r="F25" s="58"/>
      <c r="G25" s="58"/>
      <c r="H25" s="58"/>
      <c r="I25" s="58"/>
      <c r="J25" s="58"/>
      <c r="K25" s="58"/>
    </row>
    <row r="26" spans="1:11" ht="15.75" thickBot="1" x14ac:dyDescent="0.3">
      <c r="A26" s="5" t="s">
        <v>2</v>
      </c>
      <c r="B26" t="s">
        <v>182</v>
      </c>
      <c r="C26" s="5" t="s">
        <v>171</v>
      </c>
      <c r="D26" s="59"/>
      <c r="E26" s="59"/>
      <c r="F26" s="59"/>
      <c r="G26" s="59"/>
      <c r="H26" s="59"/>
      <c r="I26" s="59"/>
      <c r="J26" s="59"/>
      <c r="K26" s="59"/>
    </row>
    <row r="27" spans="1:11" ht="15.75" thickBot="1" x14ac:dyDescent="0.3">
      <c r="A27" s="5" t="s">
        <v>2</v>
      </c>
      <c r="B27" t="s">
        <v>183</v>
      </c>
      <c r="C27" s="5" t="s">
        <v>171</v>
      </c>
      <c r="D27" s="39"/>
      <c r="E27" s="39"/>
      <c r="F27" s="39"/>
      <c r="G27" s="39"/>
      <c r="H27" s="39"/>
      <c r="I27" s="39"/>
      <c r="J27" s="39"/>
      <c r="K27" s="39"/>
    </row>
    <row r="28" spans="1:11" ht="15.75" thickBot="1" x14ac:dyDescent="0.3">
      <c r="A28" s="5" t="s">
        <v>2</v>
      </c>
      <c r="B28" t="s">
        <v>184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185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186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188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  <row r="32" spans="1:11" ht="15.75" thickBot="1" x14ac:dyDescent="0.3">
      <c r="A32" s="5" t="s">
        <v>2</v>
      </c>
      <c r="B32" t="s">
        <v>187</v>
      </c>
      <c r="C32" s="5" t="s">
        <v>171</v>
      </c>
      <c r="D32" s="39"/>
      <c r="E32" s="39"/>
      <c r="F32" s="39"/>
      <c r="G32" s="39"/>
      <c r="H32" s="39"/>
      <c r="I32" s="39"/>
      <c r="J32" s="39"/>
      <c r="K32" s="3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ABE5-C613-477B-9BF4-3B932EE688EE}">
  <dimension ref="A3:K30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</v>
      </c>
      <c r="B4" s="5"/>
      <c r="C4" s="5" t="s">
        <v>171</v>
      </c>
      <c r="D4" s="86">
        <v>3.76</v>
      </c>
      <c r="E4" s="86">
        <v>4.12</v>
      </c>
      <c r="F4" s="86">
        <v>3.33</v>
      </c>
      <c r="G4" s="86">
        <v>3.2</v>
      </c>
      <c r="H4" s="86">
        <v>3.69</v>
      </c>
      <c r="I4" s="86">
        <v>3.82</v>
      </c>
      <c r="J4" s="86">
        <v>3.58</v>
      </c>
      <c r="K4" s="87">
        <v>3.89</v>
      </c>
    </row>
    <row r="5" spans="1:11" x14ac:dyDescent="0.25">
      <c r="A5" s="5" t="s">
        <v>175</v>
      </c>
      <c r="B5" s="40" t="s">
        <v>1</v>
      </c>
      <c r="C5" s="5" t="s">
        <v>178</v>
      </c>
      <c r="D5" s="83">
        <v>331.09</v>
      </c>
      <c r="E5" s="83">
        <v>333.35</v>
      </c>
      <c r="F5" s="83">
        <v>398.33</v>
      </c>
      <c r="G5" s="83">
        <v>318.08999999999997</v>
      </c>
      <c r="H5" s="83">
        <v>268.38</v>
      </c>
      <c r="I5" s="88">
        <v>263.77</v>
      </c>
      <c r="J5" s="83">
        <v>340.26</v>
      </c>
      <c r="K5" s="89">
        <v>418.71</v>
      </c>
    </row>
    <row r="6" spans="1:11" x14ac:dyDescent="0.25">
      <c r="A6" s="5" t="s">
        <v>176</v>
      </c>
      <c r="B6" s="40" t="s">
        <v>1</v>
      </c>
      <c r="C6" s="5" t="s">
        <v>177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0</v>
      </c>
      <c r="B7" s="5" t="s">
        <v>4</v>
      </c>
      <c r="C7" s="5" t="s">
        <v>3</v>
      </c>
      <c r="D7" s="91">
        <v>143.99</v>
      </c>
      <c r="E7" s="91">
        <v>145.86000000000001</v>
      </c>
      <c r="F7" s="89">
        <v>157.08000000000001</v>
      </c>
      <c r="G7" s="89">
        <v>158.94999999999999</v>
      </c>
      <c r="H7" s="89">
        <v>157.08000000000001</v>
      </c>
      <c r="I7" s="88">
        <v>158.94999999999999</v>
      </c>
      <c r="J7" s="89">
        <v>170.17</v>
      </c>
      <c r="K7" s="89">
        <v>211.31</v>
      </c>
    </row>
    <row r="8" spans="1:11" x14ac:dyDescent="0.25">
      <c r="A8" s="5" t="s">
        <v>172</v>
      </c>
      <c r="B8" s="40" t="s">
        <v>1</v>
      </c>
      <c r="C8" s="5" t="s">
        <v>247</v>
      </c>
      <c r="D8" s="92">
        <v>21.1</v>
      </c>
      <c r="E8" s="92">
        <v>21.1</v>
      </c>
      <c r="F8" s="92">
        <v>21.1</v>
      </c>
      <c r="G8" s="92">
        <v>21.1</v>
      </c>
      <c r="H8" s="92">
        <v>21.1</v>
      </c>
      <c r="I8" s="92">
        <v>21.1</v>
      </c>
      <c r="J8" s="92">
        <v>21.1</v>
      </c>
      <c r="K8" s="92">
        <v>21.1</v>
      </c>
    </row>
    <row r="9" spans="1:11" x14ac:dyDescent="0.25">
      <c r="A9" s="5" t="s">
        <v>172</v>
      </c>
      <c r="B9" s="40" t="s">
        <v>1</v>
      </c>
      <c r="C9" s="5" t="s">
        <v>155</v>
      </c>
      <c r="D9" s="93">
        <f>D4*D8</f>
        <v>79.335999999999999</v>
      </c>
      <c r="E9" s="93">
        <f t="shared" ref="E9:K9" si="1">E4*E8</f>
        <v>86.932000000000002</v>
      </c>
      <c r="F9" s="93">
        <f t="shared" si="1"/>
        <v>70.263000000000005</v>
      </c>
      <c r="G9" s="93">
        <f t="shared" si="1"/>
        <v>67.52000000000001</v>
      </c>
      <c r="H9" s="93">
        <f t="shared" si="1"/>
        <v>77.859000000000009</v>
      </c>
      <c r="I9" s="93">
        <f t="shared" si="1"/>
        <v>80.602000000000004</v>
      </c>
      <c r="J9" s="93">
        <f t="shared" si="1"/>
        <v>75.538000000000011</v>
      </c>
      <c r="K9" s="93">
        <f t="shared" si="1"/>
        <v>82.079000000000008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83">
        <v>3.11</v>
      </c>
      <c r="E10" s="83">
        <v>3.17</v>
      </c>
      <c r="F10" s="83">
        <v>3.48</v>
      </c>
      <c r="G10" s="83">
        <v>3.52</v>
      </c>
      <c r="H10" s="83">
        <v>3.22</v>
      </c>
      <c r="I10" s="83">
        <v>3.18</v>
      </c>
      <c r="J10" s="83">
        <v>3.18</v>
      </c>
      <c r="K10" s="83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ht="45" x14ac:dyDescent="0.25">
      <c r="A18" s="5" t="s">
        <v>0</v>
      </c>
      <c r="B18" s="5" t="s">
        <v>4</v>
      </c>
      <c r="C18" s="7" t="s">
        <v>5</v>
      </c>
      <c r="D18" s="91">
        <f>343.96+24.35+4.57</f>
        <v>372.88</v>
      </c>
      <c r="E18" s="89">
        <f>342.84+5.01+25.7</f>
        <v>373.54999999999995</v>
      </c>
      <c r="F18" s="89">
        <f>343.67+4.04+27</f>
        <v>374.71000000000004</v>
      </c>
      <c r="G18" s="89">
        <f>353.68+27+3.89</f>
        <v>384.57</v>
      </c>
      <c r="H18" s="89">
        <f>358.7+4.49+23.8</f>
        <v>386.99</v>
      </c>
      <c r="I18" s="89">
        <f>345.96+5.12+22.1</f>
        <v>373.18</v>
      </c>
      <c r="J18" s="89">
        <f>373.48+4.84+22.1</f>
        <v>400.42</v>
      </c>
      <c r="K18" s="89">
        <f>452+8+22</f>
        <v>482</v>
      </c>
    </row>
    <row r="19" spans="1:11" x14ac:dyDescent="0.25">
      <c r="A19" s="25" t="s">
        <v>0</v>
      </c>
      <c r="B19" t="s">
        <v>179</v>
      </c>
      <c r="C19" s="25" t="s">
        <v>177</v>
      </c>
      <c r="D19" s="94">
        <f t="shared" ref="D19:K19" si="5">D18+D7+D17</f>
        <v>845.12175999999999</v>
      </c>
      <c r="E19" s="94">
        <f t="shared" si="5"/>
        <v>880.43323999999996</v>
      </c>
      <c r="F19" s="94">
        <f t="shared" si="5"/>
        <v>840.44104000000016</v>
      </c>
      <c r="G19" s="94">
        <f t="shared" si="5"/>
        <v>842.24639999999999</v>
      </c>
      <c r="H19" s="94">
        <f t="shared" si="5"/>
        <v>864.88598000000002</v>
      </c>
      <c r="I19" s="94">
        <f t="shared" si="5"/>
        <v>857.96836000000008</v>
      </c>
      <c r="J19" s="94">
        <f t="shared" si="5"/>
        <v>888.98804000000007</v>
      </c>
      <c r="K19" s="94">
        <f t="shared" si="5"/>
        <v>1112.08017</v>
      </c>
    </row>
    <row r="20" spans="1:11" x14ac:dyDescent="0.25">
      <c r="A20" s="5" t="s">
        <v>6</v>
      </c>
      <c r="B20" s="5"/>
      <c r="C20" s="25" t="s">
        <v>177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4FF6-7C57-49F4-926A-CC90D7B60EA3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65">
        <v>2.7885000000000004</v>
      </c>
      <c r="E4" s="65">
        <v>2.9755000000000003</v>
      </c>
      <c r="F4" s="65">
        <v>2.3375000000000004</v>
      </c>
      <c r="G4" s="65">
        <v>2.4750000000000001</v>
      </c>
      <c r="H4" s="65">
        <v>2.8105000000000002</v>
      </c>
      <c r="I4" s="65">
        <v>2.9095000000000004</v>
      </c>
      <c r="J4" s="65">
        <v>2.8215000000000003</v>
      </c>
      <c r="K4" s="66">
        <v>2.6950000000000003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3">
        <v>331.09</v>
      </c>
      <c r="E5" s="33">
        <v>333.35</v>
      </c>
      <c r="F5" s="33">
        <v>398.33</v>
      </c>
      <c r="G5" s="33">
        <v>318.08999999999997</v>
      </c>
      <c r="H5" s="33">
        <v>268.38</v>
      </c>
      <c r="I5" s="3">
        <v>263.77</v>
      </c>
      <c r="J5" s="33">
        <v>340.26</v>
      </c>
      <c r="K5" s="34">
        <v>418.71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923.2444650000001</v>
      </c>
      <c r="E6" s="32">
        <f t="shared" ref="E6:K6" si="0">E5*E4</f>
        <v>991.88292500000011</v>
      </c>
      <c r="F6" s="32">
        <f t="shared" si="0"/>
        <v>931.09637500000008</v>
      </c>
      <c r="G6" s="32">
        <f t="shared" si="0"/>
        <v>787.27274999999997</v>
      </c>
      <c r="H6" s="32">
        <f t="shared" si="0"/>
        <v>754.28199000000006</v>
      </c>
      <c r="I6" s="32">
        <f t="shared" si="0"/>
        <v>767.43881500000009</v>
      </c>
      <c r="J6" s="32">
        <f t="shared" si="0"/>
        <v>960.04359000000011</v>
      </c>
      <c r="K6" s="32">
        <f t="shared" si="0"/>
        <v>1128.42345</v>
      </c>
    </row>
    <row r="7" spans="1:21" x14ac:dyDescent="0.25">
      <c r="A7" s="5" t="s">
        <v>0</v>
      </c>
      <c r="B7" s="5" t="s">
        <v>4</v>
      </c>
      <c r="C7" s="5" t="s">
        <v>3</v>
      </c>
      <c r="D7" s="37">
        <v>143.99</v>
      </c>
      <c r="E7" s="37">
        <v>145.86000000000001</v>
      </c>
      <c r="F7" s="34">
        <v>157.08000000000001</v>
      </c>
      <c r="G7" s="34">
        <v>158.94999999999999</v>
      </c>
      <c r="H7" s="34">
        <v>157.08000000000001</v>
      </c>
      <c r="I7" s="3">
        <v>158.94999999999999</v>
      </c>
      <c r="J7" s="34">
        <v>170.17</v>
      </c>
      <c r="K7" s="34">
        <v>211.31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21.1</v>
      </c>
      <c r="E8" s="77">
        <v>21.1</v>
      </c>
      <c r="F8" s="77">
        <v>21.1</v>
      </c>
      <c r="G8" s="77">
        <v>21.1</v>
      </c>
      <c r="H8" s="77">
        <v>21.1</v>
      </c>
      <c r="I8" s="77">
        <v>21.1</v>
      </c>
      <c r="J8" s="77">
        <v>21.1</v>
      </c>
      <c r="K8" s="77">
        <v>21.1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58.837350000000015</v>
      </c>
      <c r="E9" s="49">
        <f t="shared" ref="E9:K9" si="1">E4*E8</f>
        <v>62.78305000000001</v>
      </c>
      <c r="F9" s="49">
        <f t="shared" si="1"/>
        <v>49.321250000000013</v>
      </c>
      <c r="G9" s="49">
        <f t="shared" si="1"/>
        <v>52.222500000000004</v>
      </c>
      <c r="H9" s="49">
        <f t="shared" si="1"/>
        <v>59.301550000000006</v>
      </c>
      <c r="I9" s="49">
        <f t="shared" si="1"/>
        <v>61.390450000000016</v>
      </c>
      <c r="J9" s="49">
        <f t="shared" si="1"/>
        <v>59.533650000000009</v>
      </c>
      <c r="K9" s="49">
        <f t="shared" si="1"/>
        <v>56.864500000000007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22.308000000000003</v>
      </c>
      <c r="E12" s="96">
        <f t="shared" ref="E12:K12" si="2">E11*E4</f>
        <v>23.804000000000002</v>
      </c>
      <c r="F12" s="96">
        <f t="shared" si="2"/>
        <v>18.700000000000003</v>
      </c>
      <c r="G12" s="96">
        <f t="shared" si="2"/>
        <v>19.8</v>
      </c>
      <c r="H12" s="96">
        <f t="shared" si="2"/>
        <v>22.484000000000002</v>
      </c>
      <c r="I12" s="96">
        <f t="shared" si="2"/>
        <v>23.276000000000003</v>
      </c>
      <c r="J12" s="96">
        <f t="shared" si="2"/>
        <v>22.572000000000003</v>
      </c>
      <c r="K12" s="96">
        <f t="shared" si="2"/>
        <v>21.560000000000002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16.731000000000002</v>
      </c>
      <c r="E15" s="96">
        <f t="shared" ref="E15:K15" si="3">E14*E4</f>
        <v>17.853000000000002</v>
      </c>
      <c r="F15" s="96">
        <f t="shared" si="3"/>
        <v>14.025000000000002</v>
      </c>
      <c r="G15" s="96">
        <f t="shared" si="3"/>
        <v>14.850000000000001</v>
      </c>
      <c r="H15" s="96">
        <f t="shared" si="3"/>
        <v>16.863</v>
      </c>
      <c r="I15" s="96">
        <f t="shared" si="3"/>
        <v>17.457000000000001</v>
      </c>
      <c r="J15" s="96">
        <f t="shared" si="3"/>
        <v>16.929000000000002</v>
      </c>
      <c r="K15" s="96">
        <f t="shared" si="3"/>
        <v>16.170000000000002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243.43883850000003</v>
      </c>
      <c r="E17" s="85">
        <f t="shared" ref="E17:K17" si="4">E10*E9+E13*E12+E16*E15</f>
        <v>260.73413850000003</v>
      </c>
      <c r="F17" s="85">
        <f t="shared" si="4"/>
        <v>216.65820000000005</v>
      </c>
      <c r="G17" s="85">
        <f t="shared" si="4"/>
        <v>231.0462</v>
      </c>
      <c r="H17" s="85">
        <f t="shared" si="4"/>
        <v>244.35049100000006</v>
      </c>
      <c r="I17" s="85">
        <f t="shared" si="4"/>
        <v>248.17453100000006</v>
      </c>
      <c r="J17" s="85">
        <f t="shared" si="4"/>
        <v>250.93856700000006</v>
      </c>
      <c r="K17" s="85">
        <f t="shared" si="4"/>
        <v>290.12483500000002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243.43883850000003</v>
      </c>
      <c r="E18" s="31">
        <f t="shared" ref="E18:K18" si="5">E17</f>
        <v>260.73413850000003</v>
      </c>
      <c r="F18" s="31">
        <f t="shared" si="5"/>
        <v>216.65820000000005</v>
      </c>
      <c r="G18" s="31">
        <f t="shared" si="5"/>
        <v>231.0462</v>
      </c>
      <c r="H18" s="31">
        <f t="shared" si="5"/>
        <v>244.35049100000006</v>
      </c>
      <c r="I18" s="31">
        <f t="shared" si="5"/>
        <v>248.17453100000006</v>
      </c>
      <c r="J18" s="31">
        <f t="shared" si="5"/>
        <v>250.93856700000006</v>
      </c>
      <c r="K18" s="31">
        <f t="shared" si="5"/>
        <v>290.12483500000002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343.96+24.35+4.57</f>
        <v>372.88</v>
      </c>
      <c r="E19" s="34">
        <f>342.84+5.01+25.7</f>
        <v>373.54999999999995</v>
      </c>
      <c r="F19" s="34">
        <f>343.67+4.04+27</f>
        <v>374.71000000000004</v>
      </c>
      <c r="G19" s="34">
        <f>353.68+27+3.89</f>
        <v>384.57</v>
      </c>
      <c r="H19" s="34">
        <f>358.7+4.49+23.8</f>
        <v>386.99</v>
      </c>
      <c r="I19" s="34">
        <f>345.96+5.12+22.1</f>
        <v>373.18</v>
      </c>
      <c r="J19" s="34">
        <f>373.48+4.84+22.1</f>
        <v>400.42</v>
      </c>
      <c r="K19" s="34">
        <f>452+8+22</f>
        <v>482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760.30883850000009</v>
      </c>
      <c r="E20" s="38">
        <f t="shared" si="6"/>
        <v>780.14413850000005</v>
      </c>
      <c r="F20" s="38">
        <f t="shared" si="6"/>
        <v>748.44820000000016</v>
      </c>
      <c r="G20" s="38">
        <f t="shared" si="6"/>
        <v>774.56619999999998</v>
      </c>
      <c r="H20" s="38">
        <f t="shared" si="6"/>
        <v>788.42049100000008</v>
      </c>
      <c r="I20" s="38">
        <f t="shared" si="6"/>
        <v>780.304531</v>
      </c>
      <c r="J20" s="38">
        <f t="shared" si="6"/>
        <v>821.52856700000007</v>
      </c>
      <c r="K20" s="38">
        <f t="shared" si="6"/>
        <v>983.43483500000002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162.93562650000001</v>
      </c>
      <c r="E21" s="6">
        <f t="shared" si="7"/>
        <v>211.73878650000006</v>
      </c>
      <c r="F21" s="6">
        <f t="shared" si="7"/>
        <v>182.64817499999992</v>
      </c>
      <c r="G21" s="6">
        <f t="shared" si="7"/>
        <v>12.706549999999993</v>
      </c>
      <c r="H21" s="6">
        <f t="shared" si="7"/>
        <v>-34.138501000000019</v>
      </c>
      <c r="I21" s="6">
        <f t="shared" si="7"/>
        <v>-12.865715999999907</v>
      </c>
      <c r="J21" s="6">
        <f t="shared" si="7"/>
        <v>138.51502300000004</v>
      </c>
      <c r="K21" s="6">
        <f t="shared" si="7"/>
        <v>144.98861499999998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>
        <v>2.0350000000000001</v>
      </c>
      <c r="E24" s="67">
        <v>1.5125000000000002</v>
      </c>
      <c r="F24" s="67">
        <v>1.375</v>
      </c>
      <c r="G24" s="67">
        <v>2.4365000000000001</v>
      </c>
      <c r="H24" s="67">
        <v>0.8580000000000001</v>
      </c>
      <c r="I24" s="67">
        <v>2.8875000000000002</v>
      </c>
      <c r="J24" s="67">
        <v>2.7885000000000004</v>
      </c>
      <c r="K24" s="67">
        <v>2.0570000000000004</v>
      </c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>
        <v>2.2385000000000002</v>
      </c>
      <c r="E25" s="67">
        <v>2.4255000000000004</v>
      </c>
      <c r="F25" s="67">
        <v>2.5850000000000004</v>
      </c>
      <c r="G25" s="67">
        <v>2.2935000000000003</v>
      </c>
      <c r="H25" s="67">
        <v>2.3704999999999998</v>
      </c>
      <c r="I25" s="67">
        <v>1.9635</v>
      </c>
      <c r="J25" s="67">
        <v>2.5024999999999999</v>
      </c>
      <c r="K25" s="67">
        <v>2.3265000000000002</v>
      </c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67">
        <v>2.64</v>
      </c>
      <c r="E26" s="67">
        <v>2.4695000000000005</v>
      </c>
      <c r="F26" s="67">
        <v>2.3265000000000002</v>
      </c>
      <c r="G26" s="67">
        <v>2.4584999999999999</v>
      </c>
      <c r="H26" s="67">
        <v>2.5739999999999998</v>
      </c>
      <c r="I26" s="67">
        <v>2.9590000000000001</v>
      </c>
      <c r="J26" s="67">
        <v>2.3980000000000006</v>
      </c>
      <c r="K26" s="67">
        <v>2.5575000000000006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>
        <v>2.7610000000000001</v>
      </c>
      <c r="E27" s="67">
        <v>2.8380000000000005</v>
      </c>
      <c r="F27" s="67">
        <v>2.2165000000000004</v>
      </c>
      <c r="G27" s="67">
        <v>2.6290000000000004</v>
      </c>
      <c r="H27" s="67">
        <v>2.7390000000000003</v>
      </c>
      <c r="I27" s="67">
        <v>2.7665000000000002</v>
      </c>
      <c r="J27" s="67">
        <v>2.8545000000000003</v>
      </c>
      <c r="K27" s="67">
        <v>2.6455000000000002</v>
      </c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>
        <v>2.9040000000000004</v>
      </c>
      <c r="E28" s="67">
        <v>3.2450000000000006</v>
      </c>
      <c r="F28" s="67">
        <v>2.9260000000000006</v>
      </c>
      <c r="G28" s="67">
        <v>2.4805000000000001</v>
      </c>
      <c r="H28" s="67">
        <v>3.1019999999999999</v>
      </c>
      <c r="I28" s="67">
        <v>3.2670000000000003</v>
      </c>
      <c r="J28" s="67">
        <v>3.3055000000000003</v>
      </c>
      <c r="K28" s="67">
        <v>3.0140000000000007</v>
      </c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67">
        <v>3.2890000000000006</v>
      </c>
      <c r="E29" s="67">
        <v>3.2505000000000002</v>
      </c>
      <c r="F29" s="67">
        <v>3.0855000000000006</v>
      </c>
      <c r="G29" s="67">
        <v>3.1625000000000001</v>
      </c>
      <c r="H29" s="67">
        <v>3.5255000000000005</v>
      </c>
      <c r="I29" s="67">
        <v>3.4704999999999999</v>
      </c>
      <c r="J29" s="67">
        <v>3.4375000000000004</v>
      </c>
      <c r="K29" s="67">
        <v>3.3330000000000002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67">
        <v>2.9040000000000004</v>
      </c>
      <c r="E30" s="67">
        <v>2.6125000000000003</v>
      </c>
      <c r="F30" s="67">
        <v>2.7115</v>
      </c>
      <c r="G30" s="67">
        <v>2.4090000000000003</v>
      </c>
      <c r="H30" s="67">
        <v>2.8215000000000003</v>
      </c>
      <c r="I30" s="67">
        <v>3.2065000000000001</v>
      </c>
      <c r="J30" s="67">
        <v>3.0579999999999998</v>
      </c>
      <c r="K30" s="67">
        <v>2.8325000000000005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67">
        <v>2.7775000000000003</v>
      </c>
      <c r="E31" s="67">
        <v>3.0910000000000002</v>
      </c>
      <c r="F31" s="67">
        <v>1.8920000000000001</v>
      </c>
      <c r="G31" s="67">
        <v>2.3045000000000004</v>
      </c>
      <c r="H31" s="67">
        <v>2.6675</v>
      </c>
      <c r="I31" s="67">
        <v>2.8160000000000003</v>
      </c>
      <c r="J31" s="67">
        <v>2.6840000000000002</v>
      </c>
      <c r="K31" s="67">
        <v>2.4640000000000004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Gras 1j</vt:lpstr>
      <vt:lpstr>Kleegras 2j</vt:lpstr>
      <vt:lpstr>Luzerne 2j</vt:lpstr>
      <vt:lpstr>Ackerbohne</vt:lpstr>
      <vt:lpstr>Körnererbse</vt:lpstr>
      <vt:lpstr>Sojabohne</vt:lpstr>
      <vt:lpstr>FutterLupine</vt:lpstr>
      <vt:lpstr>Winterweizen</vt:lpstr>
      <vt:lpstr>Sommerweizen</vt:lpstr>
      <vt:lpstr>(K)-Durum</vt:lpstr>
      <vt:lpstr>Speise-Dinkel</vt:lpstr>
      <vt:lpstr>Triticale</vt:lpstr>
      <vt:lpstr>Winterroggen</vt:lpstr>
      <vt:lpstr>Wintergerste</vt:lpstr>
      <vt:lpstr>Sommergerste</vt:lpstr>
      <vt:lpstr>Speisehafer</vt:lpstr>
      <vt:lpstr>(K) Hirse</vt:lpstr>
      <vt:lpstr>Silomais</vt:lpstr>
      <vt:lpstr>Körnermais</vt:lpstr>
      <vt:lpstr>Zuckerrübe</vt:lpstr>
      <vt:lpstr>Speisekartoffel</vt:lpstr>
      <vt:lpstr>(K) Raps</vt:lpstr>
      <vt:lpstr>Sonnenblume</vt:lpstr>
      <vt:lpstr>(K) Ölkürbis</vt:lpstr>
      <vt:lpstr>Termine HF</vt:lpstr>
      <vt:lpstr>Krankheiten</vt:lpstr>
      <vt:lpstr>ZF</vt:lpstr>
      <vt:lpstr>Stickstoffbedarf</vt:lpstr>
      <vt:lpstr>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 Wagner</cp:lastModifiedBy>
  <dcterms:created xsi:type="dcterms:W3CDTF">2015-06-05T18:19:34Z</dcterms:created>
  <dcterms:modified xsi:type="dcterms:W3CDTF">2023-10-25T12:45:39Z</dcterms:modified>
</cp:coreProperties>
</file>