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activeX/activeX5.xml" ContentType="application/vnd.ms-office.activeX+xml"/>
  <Override PartName="/xl/activeX/activeX5.bin" ContentType="application/vnd.ms-office.activeX"/>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activeX/activeX6.xml" ContentType="application/vnd.ms-office.activeX+xml"/>
  <Override PartName="/xl/activeX/activeX6.bin" ContentType="application/vnd.ms-office.activeX"/>
  <Override PartName="/xl/activeX/activeX7.xml" ContentType="application/vnd.ms-office.activeX+xml"/>
  <Override PartName="/xl/activeX/activeX7.bin" ContentType="application/vnd.ms-office.activeX"/>
  <Override PartName="/xl/activeX/activeX8.xml" ContentType="application/vnd.ms-office.activeX+xml"/>
  <Override PartName="/xl/activeX/activeX8.bin" ContentType="application/vnd.ms-office.activeX"/>
  <Override PartName="/xl/activeX/activeX9.xml" ContentType="application/vnd.ms-office.activeX+xml"/>
  <Override PartName="/xl/activeX/activeX9.bin" ContentType="application/vnd.ms-office.activeX"/>
  <Override PartName="/xl/activeX/activeX10.xml" ContentType="application/vnd.ms-office.activeX+xml"/>
  <Override PartName="/xl/activeX/activeX10.bin" ContentType="application/vnd.ms-office.activeX"/>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updateLinks="always" codeName="ThisWorkbook"/>
  <mc:AlternateContent xmlns:mc="http://schemas.openxmlformats.org/markup-compatibility/2006">
    <mc:Choice Requires="x15">
      <x15ac:absPath xmlns:x15ac="http://schemas.microsoft.com/office/spreadsheetml/2010/11/ac" url="C:\Users\jason.m.chgv\Documents\CavalierOne\resources\"/>
    </mc:Choice>
  </mc:AlternateContent>
  <xr:revisionPtr revIDLastSave="0" documentId="8_{B8481347-3D77-4996-9EF0-A681C64CCA5D}" xr6:coauthVersionLast="47" xr6:coauthVersionMax="47" xr10:uidLastSave="{00000000-0000-0000-0000-000000000000}"/>
  <bookViews>
    <workbookView xWindow="-120" yWindow="-120" windowWidth="29040" windowHeight="15720" firstSheet="11" activeTab="14" xr2:uid="{00000000-000D-0000-FFFF-FFFF00000000}"/>
  </bookViews>
  <sheets>
    <sheet name="Lifestyle" sheetId="2" state="hidden" r:id="rId1"/>
    <sheet name="Landscaping" sheetId="31" state="hidden" r:id="rId2"/>
    <sheet name="Shepparton" sheetId="4" state="hidden" r:id="rId3"/>
    <sheet name="Investor" sheetId="5" state="hidden" r:id="rId4"/>
    <sheet name="Echuca" sheetId="6" state="hidden" r:id="rId5"/>
    <sheet name="Value Packs" sheetId="30" state="hidden" r:id="rId6"/>
    <sheet name="Sandown 32 Display" sheetId="12" state="hidden" r:id="rId7"/>
    <sheet name="Travel Working" sheetId="33" state="hidden" r:id="rId8"/>
    <sheet name="Estimator" sheetId="3" state="hidden" r:id="rId9"/>
    <sheet name="Facade Pricing" sheetId="29" state="hidden" r:id="rId10"/>
    <sheet name="Slab" sheetId="37" r:id="rId11"/>
    <sheet name="WORKINGS" sheetId="9" r:id="rId12"/>
    <sheet name="1.HOUSE PRICE" sheetId="7" r:id="rId13"/>
    <sheet name="2.TRAVEL" sheetId="8" r:id="rId14"/>
    <sheet name="3.SALES ESTIMATE" sheetId="27" r:id="rId15"/>
    <sheet name="MALDON DISPLAY" sheetId="35" r:id="rId16"/>
    <sheet name="PARKDALE DISPLAY" sheetId="36" r:id="rId17"/>
    <sheet name="Inglewood 42 Display" sheetId="28" state="hidden" r:id="rId18"/>
    <sheet name="Windows &amp; Sliding Doors" sheetId="13" r:id="rId19"/>
    <sheet name="Swing Doors" sheetId="14" r:id="rId20"/>
    <sheet name="Garage Doors" sheetId="15" r:id="rId21"/>
    <sheet name="Cabinetry" sheetId="16" r:id="rId22"/>
    <sheet name="Appliances" sheetId="17" r:id="rId23"/>
    <sheet name="Showers, Baths &amp; Toilets" sheetId="34" r:id="rId24"/>
    <sheet name="Electrical" sheetId="19" r:id="rId25"/>
    <sheet name="House extension" sheetId="20" r:id="rId26"/>
    <sheet name="Robes &amp; Shelving" sheetId="21" r:id="rId27"/>
    <sheet name="Floor Coverings" sheetId="22" r:id="rId28"/>
    <sheet name="Window Coverings" sheetId="23" r:id="rId29"/>
    <sheet name="Yard Items" sheetId="24" r:id="rId30"/>
    <sheet name="Site Costs" sheetId="25" r:id="rId31"/>
    <sheet name="Facades" sheetId="26" r:id="rId32"/>
  </sheets>
  <definedNames>
    <definedName name="_xlnm._FilterDatabase" localSheetId="12" hidden="1">'1.HOUSE PRICE'!$A$7:$C$237</definedName>
    <definedName name="_xlnm._FilterDatabase" localSheetId="13" hidden="1">'2.TRAVEL'!$A$3:$A$41</definedName>
    <definedName name="_xlnm._FilterDatabase" localSheetId="8" hidden="1">Estimator!$B$2:$B$97</definedName>
    <definedName name="_xlnm.Print_Area" localSheetId="14">'3.SALES ESTIMATE'!$B$1:$F$436</definedName>
    <definedName name="_xlnm.Print_Area" localSheetId="4">Echuca!$A$1:$G$166</definedName>
    <definedName name="_xlnm.Print_Area" localSheetId="9">'Facade Pricing'!$A$1:$B$375</definedName>
    <definedName name="_xlnm.Print_Area" localSheetId="17">'Inglewood 42 Display'!$A$1:$F$374</definedName>
    <definedName name="_xlnm.Print_Area" localSheetId="3">Investor!$A$1:$K$17</definedName>
    <definedName name="_xlnm.Print_Area" localSheetId="6">'Sandown 32 Display'!$A$1:$F$377</definedName>
    <definedName name="_xlnm.Print_Area" localSheetId="2">Shepparton!$A$1:$G$183</definedName>
    <definedName name="_xlnm.Print_Area" localSheetId="5">'Value Packs'!$B$2:$H$53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I72" i="9" l="1"/>
  <c r="I71" i="9"/>
  <c r="I70" i="9"/>
  <c r="I69" i="9"/>
  <c r="M69" i="9" l="1"/>
  <c r="F354" i="27"/>
  <c r="F227" i="27" l="1"/>
  <c r="F226" i="27"/>
  <c r="F248" i="27" l="1"/>
  <c r="F204" i="27"/>
  <c r="F370" i="27"/>
  <c r="F243" i="27"/>
  <c r="F369" i="27"/>
  <c r="F208" i="27"/>
  <c r="F207" i="27"/>
  <c r="F206" i="27"/>
  <c r="F379" i="27"/>
  <c r="F381" i="27"/>
  <c r="F380" i="27"/>
  <c r="F239" i="27"/>
  <c r="F242" i="27"/>
  <c r="F241" i="27"/>
  <c r="F368" i="27"/>
  <c r="F209" i="27"/>
  <c r="AG28" i="9"/>
  <c r="AG27" i="9"/>
  <c r="AG29" i="9" s="1"/>
  <c r="AJ29" i="9" s="1"/>
  <c r="AJ31" i="9" s="1"/>
  <c r="AJ32" i="9" s="1"/>
  <c r="F293" i="27"/>
  <c r="F240" i="27" l="1"/>
  <c r="N375" i="27" l="1"/>
  <c r="N376" i="27" s="1"/>
  <c r="E390" i="27" l="1"/>
  <c r="AG46" i="9"/>
  <c r="AJ46" i="9" s="1"/>
  <c r="AJ48" i="9" s="1"/>
  <c r="AJ49" i="9" s="1"/>
  <c r="AJ41" i="9"/>
  <c r="AG38" i="9"/>
  <c r="AJ38" i="9" s="1"/>
  <c r="AI24" i="9"/>
  <c r="AG21" i="9"/>
  <c r="AG20" i="9"/>
  <c r="AG22" i="9" s="1"/>
  <c r="AJ43" i="9" l="1"/>
  <c r="AJ44" i="9" s="1"/>
  <c r="F349" i="27"/>
  <c r="F278" i="27" l="1"/>
  <c r="F231" i="27"/>
  <c r="F203" i="27"/>
  <c r="F220" i="27"/>
  <c r="F221" i="27"/>
  <c r="V40" i="9"/>
  <c r="Y40" i="9" s="1"/>
  <c r="AB40" i="9" s="1"/>
  <c r="AC40" i="9" s="1"/>
  <c r="V38" i="9"/>
  <c r="Y38" i="9" s="1"/>
  <c r="AB38" i="9" s="1"/>
  <c r="AC38" i="9" s="1"/>
  <c r="V35" i="9"/>
  <c r="Y35" i="9" s="1"/>
  <c r="AB35" i="9" s="1"/>
  <c r="AC35" i="9" s="1"/>
  <c r="V31" i="9"/>
  <c r="Y31" i="9" s="1"/>
  <c r="AB31" i="9" s="1"/>
  <c r="AC31" i="9" s="1"/>
  <c r="V27" i="9"/>
  <c r="V26" i="9"/>
  <c r="V28" i="9" s="1"/>
  <c r="Y25" i="9" s="1"/>
  <c r="AA25" i="9" s="1"/>
  <c r="AB25" i="9" s="1"/>
  <c r="V21" i="9" l="1"/>
  <c r="Y21" i="9" s="1"/>
  <c r="V20" i="9"/>
  <c r="F313" i="27"/>
  <c r="F335" i="27"/>
  <c r="F331" i="27"/>
  <c r="V15" i="9"/>
  <c r="V14" i="9"/>
  <c r="V13" i="9"/>
  <c r="V12" i="9"/>
  <c r="V11" i="9"/>
  <c r="V10" i="9"/>
  <c r="V9" i="9"/>
  <c r="V8" i="9"/>
  <c r="V7" i="9"/>
  <c r="V16" i="9" s="1"/>
  <c r="V22" i="9" l="1"/>
  <c r="Y20" i="9" s="1"/>
  <c r="Y23" i="9" s="1"/>
  <c r="AB20" i="9" s="1"/>
  <c r="AB21" i="9" s="1"/>
  <c r="F294" i="27" l="1"/>
  <c r="F290" i="27"/>
  <c r="F245" i="27"/>
  <c r="M27" i="9" l="1"/>
  <c r="P28" i="9" l="1"/>
  <c r="P27" i="9"/>
  <c r="F384" i="27"/>
  <c r="F377" i="27"/>
  <c r="F374" i="27"/>
  <c r="F372" i="27"/>
  <c r="F366" i="27"/>
  <c r="F365" i="27"/>
  <c r="F364" i="27"/>
  <c r="F363" i="27"/>
  <c r="F362" i="27"/>
  <c r="F361" i="27"/>
  <c r="F367" i="27"/>
  <c r="F353" i="27"/>
  <c r="F347" i="27"/>
  <c r="F352" i="27"/>
  <c r="F340" i="27"/>
  <c r="F342" i="27"/>
  <c r="F341" i="27"/>
  <c r="F330" i="27"/>
  <c r="F327" i="27"/>
  <c r="F328" i="27"/>
  <c r="F326" i="27"/>
  <c r="F311" i="27"/>
  <c r="F310" i="27"/>
  <c r="F312" i="27"/>
  <c r="F308" i="27"/>
  <c r="F307" i="27"/>
  <c r="F309" i="27"/>
  <c r="F286" i="27"/>
  <c r="F292" i="27"/>
  <c r="F289" i="27"/>
  <c r="F291" i="27"/>
  <c r="F279" i="27"/>
  <c r="F277" i="27"/>
  <c r="F275" i="27"/>
  <c r="F276" i="27"/>
  <c r="F238" i="27"/>
  <c r="F237" i="27"/>
  <c r="F236" i="27"/>
  <c r="F234" i="27"/>
  <c r="F233" i="27"/>
  <c r="F232" i="27"/>
  <c r="F235" i="27"/>
  <c r="F252" i="27"/>
  <c r="F251" i="27"/>
  <c r="F250" i="27"/>
  <c r="F249" i="27"/>
  <c r="F247" i="27"/>
  <c r="F246" i="27"/>
  <c r="F253" i="27"/>
  <c r="F205" i="27"/>
  <c r="F202" i="27"/>
  <c r="F351" i="27"/>
  <c r="J359" i="27"/>
  <c r="I359" i="27"/>
  <c r="K359" i="27" l="1"/>
  <c r="J333" i="27"/>
  <c r="L333" i="27" s="1"/>
  <c r="G333" i="27"/>
  <c r="I333" i="27" s="1"/>
  <c r="G305" i="27"/>
  <c r="I305" i="27" s="1"/>
  <c r="M333" i="27" l="1"/>
  <c r="F334" i="27"/>
  <c r="F333" i="27"/>
  <c r="F306" i="27"/>
  <c r="F348" i="27"/>
  <c r="F345" i="27"/>
  <c r="F282" i="27" l="1"/>
  <c r="F225" i="27"/>
  <c r="F262" i="27"/>
  <c r="F261" i="27"/>
  <c r="F260" i="27"/>
  <c r="F229" i="27"/>
  <c r="F222" i="27"/>
  <c r="F346" i="27"/>
  <c r="F281" i="27"/>
  <c r="F218" i="27"/>
  <c r="F257" i="27"/>
  <c r="D287" i="27"/>
  <c r="J325" i="27"/>
  <c r="L325" i="27" s="1"/>
  <c r="G325" i="27"/>
  <c r="I325" i="27" s="1"/>
  <c r="J305" i="27"/>
  <c r="L305" i="27" s="1"/>
  <c r="F273" i="27"/>
  <c r="F283" i="27"/>
  <c r="M305" i="27" l="1"/>
  <c r="M325" i="27"/>
  <c r="F271" i="27" l="1"/>
  <c r="B31" i="9"/>
  <c r="D223" i="27"/>
  <c r="F223" i="27" s="1"/>
  <c r="D48" i="37"/>
  <c r="D47" i="37"/>
  <c r="D50" i="37" s="1"/>
  <c r="D43" i="37"/>
  <c r="D44" i="37" s="1"/>
  <c r="D40" i="37"/>
  <c r="D39" i="37"/>
  <c r="D38" i="37"/>
  <c r="D37" i="37"/>
  <c r="D33" i="37"/>
  <c r="D34" i="37" s="1"/>
  <c r="D29" i="37"/>
  <c r="D28" i="37"/>
  <c r="D30" i="37" s="1"/>
  <c r="D25" i="37"/>
  <c r="D24" i="37"/>
  <c r="D20" i="37"/>
  <c r="D18" i="37"/>
  <c r="D16" i="37"/>
  <c r="D15" i="37"/>
  <c r="D14" i="37"/>
  <c r="D21" i="37" s="1"/>
  <c r="D12" i="37"/>
  <c r="D11" i="37"/>
  <c r="D10" i="37"/>
  <c r="D9" i="37"/>
  <c r="B6" i="37"/>
  <c r="D189" i="27" l="1"/>
  <c r="D188" i="27"/>
  <c r="F288" i="27"/>
  <c r="H26" i="16"/>
  <c r="E53" i="9"/>
  <c r="E56" i="9"/>
  <c r="E57" i="9"/>
  <c r="E65" i="9"/>
  <c r="E63" i="9"/>
  <c r="B17" i="9"/>
  <c r="B43" i="9"/>
  <c r="K387" i="27" l="1"/>
  <c r="F305" i="27"/>
  <c r="E52" i="9"/>
  <c r="E13" i="9"/>
  <c r="O11" i="9"/>
  <c r="F268" i="27" l="1"/>
  <c r="F189" i="27" l="1"/>
  <c r="F323" i="27"/>
  <c r="F322" i="27"/>
  <c r="F321" i="27"/>
  <c r="F320" i="27"/>
  <c r="F350" i="27"/>
  <c r="F324" i="27"/>
  <c r="F317" i="27"/>
  <c r="F339" i="27"/>
  <c r="F337" i="27"/>
  <c r="F303" i="27"/>
  <c r="F304" i="27"/>
  <c r="F302" i="27"/>
  <c r="F301" i="27"/>
  <c r="F300" i="27"/>
  <c r="F224" i="27"/>
  <c r="F219" i="27"/>
  <c r="F287" i="27"/>
  <c r="F228" i="27"/>
  <c r="F230" i="27"/>
  <c r="F270" i="27"/>
  <c r="F269" i="27"/>
  <c r="F267" i="27"/>
  <c r="F266" i="27"/>
  <c r="F265" i="27"/>
  <c r="F285" i="27"/>
  <c r="F284" i="27"/>
  <c r="E47" i="9"/>
  <c r="E46" i="9"/>
  <c r="E45" i="9"/>
  <c r="E44" i="9"/>
  <c r="E43" i="9"/>
  <c r="E35" i="9"/>
  <c r="E34" i="9"/>
  <c r="E33" i="9"/>
  <c r="E32" i="9"/>
  <c r="E31" i="9"/>
  <c r="E22" i="9"/>
  <c r="E21" i="9"/>
  <c r="E20" i="9"/>
  <c r="E19" i="9"/>
  <c r="E18" i="9"/>
  <c r="E17" i="9"/>
  <c r="A133" i="7"/>
  <c r="B133" i="7"/>
  <c r="D133" i="7"/>
  <c r="E133" i="7"/>
  <c r="A134" i="7"/>
  <c r="B134" i="7"/>
  <c r="D134" i="7"/>
  <c r="E134" i="7"/>
  <c r="A18" i="7"/>
  <c r="B18" i="7"/>
  <c r="D18" i="7"/>
  <c r="E18" i="7"/>
  <c r="A19" i="7"/>
  <c r="B19" i="7"/>
  <c r="D19" i="7"/>
  <c r="E19" i="7"/>
  <c r="J4" i="6"/>
  <c r="F8" i="34"/>
  <c r="D111" i="35"/>
  <c r="F111" i="35" s="1"/>
  <c r="F112" i="35"/>
  <c r="D113" i="35"/>
  <c r="F113" i="35" s="1"/>
  <c r="D114" i="35"/>
  <c r="F114" i="35"/>
  <c r="D115" i="35"/>
  <c r="F115" i="35" s="1"/>
  <c r="E39" i="9" l="1"/>
  <c r="E27" i="9"/>
  <c r="D42" i="36"/>
  <c r="D41" i="36"/>
  <c r="D39" i="36"/>
  <c r="D37" i="36"/>
  <c r="D36" i="36"/>
  <c r="D35" i="36"/>
  <c r="D30" i="36"/>
  <c r="D29" i="36"/>
  <c r="D27" i="36"/>
  <c r="D25" i="36"/>
  <c r="D130" i="35" l="1"/>
  <c r="D129" i="35"/>
  <c r="D125" i="35"/>
  <c r="D124" i="35"/>
  <c r="D109" i="35"/>
  <c r="D108" i="35"/>
  <c r="D107" i="35"/>
  <c r="D106" i="35"/>
  <c r="D105" i="35"/>
  <c r="D104" i="35"/>
  <c r="D99" i="35"/>
  <c r="D86" i="35"/>
  <c r="D85" i="35"/>
  <c r="D84" i="35"/>
  <c r="D81" i="35"/>
  <c r="D78" i="35"/>
  <c r="D74" i="35"/>
  <c r="D72" i="35"/>
  <c r="D71" i="35" l="1"/>
  <c r="D70" i="35"/>
  <c r="D68" i="35"/>
  <c r="D62" i="35"/>
  <c r="D59" i="35"/>
  <c r="D55" i="35"/>
  <c r="D52" i="35"/>
  <c r="D50" i="35"/>
  <c r="D48" i="35"/>
  <c r="D46" i="35"/>
  <c r="D42" i="35"/>
  <c r="D40" i="35"/>
  <c r="D39" i="35"/>
  <c r="D34" i="35"/>
  <c r="D30" i="35"/>
  <c r="D29" i="35"/>
  <c r="D26" i="35"/>
  <c r="D144" i="35"/>
  <c r="D143" i="35"/>
  <c r="D141" i="35"/>
  <c r="D139" i="35"/>
  <c r="D23" i="35"/>
  <c r="D20" i="35"/>
  <c r="K152" i="6" l="1"/>
  <c r="K153" i="6"/>
  <c r="K154" i="6"/>
  <c r="K155" i="6"/>
  <c r="K156" i="6"/>
  <c r="K157" i="6"/>
  <c r="K158" i="6"/>
  <c r="K151" i="6"/>
  <c r="K133" i="6"/>
  <c r="K134" i="6"/>
  <c r="K135" i="6"/>
  <c r="K136" i="6"/>
  <c r="K137" i="6"/>
  <c r="K138" i="6"/>
  <c r="K139" i="6"/>
  <c r="K140" i="6"/>
  <c r="K141" i="6"/>
  <c r="K142" i="6"/>
  <c r="K143" i="6"/>
  <c r="K144" i="6"/>
  <c r="K145" i="6"/>
  <c r="K146" i="6"/>
  <c r="K147" i="6"/>
  <c r="K132" i="6"/>
  <c r="K96" i="6"/>
  <c r="K97" i="6"/>
  <c r="K98" i="6"/>
  <c r="K99" i="6"/>
  <c r="K100" i="6"/>
  <c r="K101" i="6"/>
  <c r="K102" i="6"/>
  <c r="K103" i="6"/>
  <c r="K104" i="6"/>
  <c r="K105" i="6"/>
  <c r="K106" i="6"/>
  <c r="K107" i="6"/>
  <c r="K108" i="6"/>
  <c r="K109" i="6"/>
  <c r="K110" i="6"/>
  <c r="K111" i="6"/>
  <c r="K112" i="6"/>
  <c r="K113" i="6"/>
  <c r="K114" i="6"/>
  <c r="K115" i="6"/>
  <c r="K116" i="6"/>
  <c r="K95" i="6"/>
  <c r="K52" i="6"/>
  <c r="K53" i="6"/>
  <c r="K54" i="6"/>
  <c r="K55" i="6"/>
  <c r="K56" i="6"/>
  <c r="K57" i="6"/>
  <c r="K58" i="6"/>
  <c r="K59" i="6"/>
  <c r="K60" i="6"/>
  <c r="K61" i="6"/>
  <c r="K62" i="6"/>
  <c r="K63" i="6"/>
  <c r="K64" i="6"/>
  <c r="K65" i="6"/>
  <c r="K66" i="6"/>
  <c r="K67" i="6"/>
  <c r="K68" i="6"/>
  <c r="K69" i="6"/>
  <c r="K70" i="6"/>
  <c r="K71" i="6"/>
  <c r="K72" i="6"/>
  <c r="K73" i="6"/>
  <c r="K74" i="6"/>
  <c r="K75" i="6"/>
  <c r="K76" i="6"/>
  <c r="K77" i="6"/>
  <c r="K78" i="6"/>
  <c r="K79" i="6"/>
  <c r="K80" i="6"/>
  <c r="K81" i="6"/>
  <c r="K82" i="6"/>
  <c r="K83" i="6"/>
  <c r="K51" i="6"/>
  <c r="K5" i="6"/>
  <c r="K6" i="6"/>
  <c r="K7" i="6"/>
  <c r="K8" i="6"/>
  <c r="K9" i="6"/>
  <c r="K10" i="6"/>
  <c r="K11" i="6"/>
  <c r="K12" i="6"/>
  <c r="K13" i="6"/>
  <c r="K14" i="6"/>
  <c r="K15" i="6"/>
  <c r="K16" i="6"/>
  <c r="K17" i="6"/>
  <c r="K18" i="6"/>
  <c r="K19" i="6"/>
  <c r="K20" i="6"/>
  <c r="K21" i="6"/>
  <c r="K22" i="6"/>
  <c r="K23" i="6"/>
  <c r="K24" i="6"/>
  <c r="K25" i="6"/>
  <c r="K26" i="6"/>
  <c r="K27" i="6"/>
  <c r="K28" i="6"/>
  <c r="K29" i="6"/>
  <c r="K30" i="6"/>
  <c r="K31" i="6"/>
  <c r="K32" i="6"/>
  <c r="K33" i="6"/>
  <c r="K34" i="6"/>
  <c r="K35" i="6"/>
  <c r="K36" i="6"/>
  <c r="K37" i="6"/>
  <c r="K38" i="6"/>
  <c r="K39" i="6"/>
  <c r="K40" i="6"/>
  <c r="K4" i="6"/>
  <c r="K170" i="4"/>
  <c r="K171" i="4"/>
  <c r="K169" i="4"/>
  <c r="K150" i="4"/>
  <c r="K151" i="4"/>
  <c r="K152" i="4"/>
  <c r="K153" i="4"/>
  <c r="K154" i="4"/>
  <c r="K155" i="4"/>
  <c r="K156" i="4"/>
  <c r="K149" i="4"/>
  <c r="K131" i="4"/>
  <c r="K132" i="4"/>
  <c r="K133" i="4"/>
  <c r="K134" i="4"/>
  <c r="K135" i="4"/>
  <c r="K136" i="4"/>
  <c r="K137" i="4"/>
  <c r="K138" i="4"/>
  <c r="K139" i="4"/>
  <c r="K140" i="4"/>
  <c r="K141" i="4"/>
  <c r="K142" i="4"/>
  <c r="K143" i="4"/>
  <c r="K144" i="4"/>
  <c r="K145" i="4"/>
  <c r="K130" i="4"/>
  <c r="K96" i="4"/>
  <c r="K97" i="4"/>
  <c r="K98" i="4"/>
  <c r="K99" i="4"/>
  <c r="K100" i="4"/>
  <c r="K101" i="4"/>
  <c r="K102" i="4"/>
  <c r="K103" i="4"/>
  <c r="K104" i="4"/>
  <c r="K105" i="4"/>
  <c r="K106" i="4"/>
  <c r="K107" i="4"/>
  <c r="K108" i="4"/>
  <c r="K109" i="4"/>
  <c r="K110" i="4"/>
  <c r="K111" i="4"/>
  <c r="K112" i="4"/>
  <c r="K113" i="4"/>
  <c r="K114" i="4"/>
  <c r="K115" i="4"/>
  <c r="K116" i="4"/>
  <c r="K95"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51"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 i="4"/>
  <c r="I15" i="6" l="1"/>
  <c r="I15" i="4"/>
  <c r="BK25" i="2"/>
  <c r="BH25" i="2"/>
  <c r="BE136" i="2"/>
  <c r="BE135" i="2"/>
  <c r="BE134" i="2"/>
  <c r="BE133" i="2"/>
  <c r="BE132" i="2"/>
  <c r="BE131" i="2"/>
  <c r="BE130" i="2"/>
  <c r="BE129" i="2"/>
  <c r="BE25" i="2"/>
  <c r="B22" i="8" l="1"/>
  <c r="E43" i="36" l="1"/>
  <c r="F42" i="36"/>
  <c r="F41" i="36"/>
  <c r="F39" i="36"/>
  <c r="F37" i="36"/>
  <c r="F36" i="36"/>
  <c r="F35" i="36"/>
  <c r="F33" i="36"/>
  <c r="F32" i="36"/>
  <c r="F31" i="36"/>
  <c r="F30" i="36"/>
  <c r="F29" i="36"/>
  <c r="F28" i="36"/>
  <c r="F27" i="36"/>
  <c r="F25" i="36"/>
  <c r="F23" i="36"/>
  <c r="F22" i="36"/>
  <c r="F21" i="36"/>
  <c r="F20" i="36"/>
  <c r="F17" i="36"/>
  <c r="F16" i="36"/>
  <c r="F147" i="35"/>
  <c r="D146" i="35"/>
  <c r="F146" i="35" s="1"/>
  <c r="F145" i="35"/>
  <c r="F144" i="35"/>
  <c r="D142" i="35"/>
  <c r="F142" i="35" s="1"/>
  <c r="F141" i="35"/>
  <c r="D140" i="35"/>
  <c r="F140" i="35" s="1"/>
  <c r="F139" i="35"/>
  <c r="E131" i="35"/>
  <c r="F130" i="35"/>
  <c r="F129" i="35"/>
  <c r="F127" i="35"/>
  <c r="F126" i="35"/>
  <c r="F125" i="35"/>
  <c r="F124" i="35"/>
  <c r="F123" i="35"/>
  <c r="F122" i="35"/>
  <c r="F120" i="35"/>
  <c r="F119" i="35"/>
  <c r="F118" i="35"/>
  <c r="F117" i="35"/>
  <c r="F109" i="35"/>
  <c r="F108" i="35"/>
  <c r="F107" i="35"/>
  <c r="F106" i="35"/>
  <c r="F105" i="35"/>
  <c r="F104" i="35"/>
  <c r="F102" i="35"/>
  <c r="F101" i="35"/>
  <c r="F100" i="35"/>
  <c r="F99" i="35"/>
  <c r="F97" i="35"/>
  <c r="F96" i="35"/>
  <c r="F95" i="35"/>
  <c r="F94" i="35"/>
  <c r="F93" i="35"/>
  <c r="F92" i="35"/>
  <c r="F91" i="35"/>
  <c r="F89" i="35"/>
  <c r="F88" i="35"/>
  <c r="F87" i="35"/>
  <c r="F86" i="35"/>
  <c r="F85" i="35"/>
  <c r="F84" i="35"/>
  <c r="F83" i="35"/>
  <c r="F82" i="35"/>
  <c r="F81" i="35"/>
  <c r="F80" i="35"/>
  <c r="F78" i="35"/>
  <c r="F77" i="35"/>
  <c r="F76" i="35"/>
  <c r="F75" i="35"/>
  <c r="F74" i="35"/>
  <c r="F72" i="35"/>
  <c r="F71" i="35"/>
  <c r="F70" i="35"/>
  <c r="F69" i="35"/>
  <c r="F68" i="35"/>
  <c r="F67" i="35"/>
  <c r="F66" i="35"/>
  <c r="F65" i="35"/>
  <c r="F64" i="35"/>
  <c r="F63" i="35"/>
  <c r="F62" i="35"/>
  <c r="F60" i="35"/>
  <c r="F59" i="35"/>
  <c r="F58" i="35"/>
  <c r="F55" i="35"/>
  <c r="F54" i="35"/>
  <c r="F53" i="35"/>
  <c r="F52" i="35"/>
  <c r="F51" i="35"/>
  <c r="F50" i="35"/>
  <c r="F49" i="35"/>
  <c r="F48" i="35"/>
  <c r="F47" i="35"/>
  <c r="F46" i="35"/>
  <c r="F44" i="35"/>
  <c r="F43" i="35"/>
  <c r="F42" i="35"/>
  <c r="F41" i="35"/>
  <c r="F40" i="35"/>
  <c r="F39" i="35"/>
  <c r="F38" i="35"/>
  <c r="F37" i="35"/>
  <c r="F36" i="35"/>
  <c r="F35" i="35"/>
  <c r="F34" i="35"/>
  <c r="F32" i="35"/>
  <c r="F31" i="35"/>
  <c r="F30" i="35"/>
  <c r="F29" i="35"/>
  <c r="F28" i="35"/>
  <c r="F26" i="35"/>
  <c r="F23" i="35"/>
  <c r="F21" i="35"/>
  <c r="F20" i="35"/>
  <c r="F17" i="35"/>
  <c r="F16" i="35"/>
  <c r="C49" i="30"/>
  <c r="I13" i="6"/>
  <c r="I13" i="4"/>
  <c r="I14" i="4"/>
  <c r="BK23" i="2"/>
  <c r="BH23" i="2"/>
  <c r="BE23" i="2"/>
  <c r="G147" i="35" l="1"/>
  <c r="D27" i="35" s="1"/>
  <c r="F27" i="35" s="1"/>
  <c r="G142" i="35"/>
  <c r="D25" i="35" s="1"/>
  <c r="F143" i="35"/>
  <c r="F21" i="34"/>
  <c r="F22" i="34" s="1"/>
  <c r="F18" i="34"/>
  <c r="F17" i="34"/>
  <c r="F14" i="34"/>
  <c r="F15" i="34" s="1"/>
  <c r="F10" i="34"/>
  <c r="F9" i="34"/>
  <c r="F7" i="34"/>
  <c r="F6" i="34"/>
  <c r="F5" i="34"/>
  <c r="F26" i="19"/>
  <c r="F32" i="19"/>
  <c r="F55" i="19"/>
  <c r="F54" i="19"/>
  <c r="F53" i="19"/>
  <c r="F52" i="19"/>
  <c r="F49" i="19"/>
  <c r="F48" i="19"/>
  <c r="F47" i="19"/>
  <c r="F46" i="19"/>
  <c r="F45" i="19"/>
  <c r="F44" i="19"/>
  <c r="F41" i="19"/>
  <c r="F40" i="19"/>
  <c r="F39" i="19"/>
  <c r="F38" i="19"/>
  <c r="F37" i="19"/>
  <c r="F36" i="19"/>
  <c r="F35" i="19"/>
  <c r="F34" i="19"/>
  <c r="F33" i="19"/>
  <c r="F31" i="19"/>
  <c r="F30" i="19"/>
  <c r="F25" i="19"/>
  <c r="F24" i="19"/>
  <c r="F23" i="19"/>
  <c r="F22" i="19"/>
  <c r="F21" i="19"/>
  <c r="F18" i="19"/>
  <c r="F17" i="19"/>
  <c r="F16" i="19"/>
  <c r="F15" i="19"/>
  <c r="F12" i="19"/>
  <c r="F11" i="19"/>
  <c r="F10" i="19"/>
  <c r="F9" i="19"/>
  <c r="F8" i="19"/>
  <c r="F7" i="19"/>
  <c r="F6" i="19"/>
  <c r="X27" i="13"/>
  <c r="A87" i="7"/>
  <c r="A202" i="7" s="1"/>
  <c r="A88" i="7"/>
  <c r="A203" i="7" s="1"/>
  <c r="BI95" i="2"/>
  <c r="BK95" i="2" s="1"/>
  <c r="BF95" i="2"/>
  <c r="BH95" i="2" s="1"/>
  <c r="F28" i="20"/>
  <c r="B34" i="29"/>
  <c r="I104" i="6"/>
  <c r="I105" i="6"/>
  <c r="I104" i="4"/>
  <c r="I105" i="4"/>
  <c r="BE95" i="2"/>
  <c r="A31" i="7"/>
  <c r="A146" i="7" s="1"/>
  <c r="A32" i="7"/>
  <c r="A147" i="7" s="1"/>
  <c r="A33" i="7"/>
  <c r="A148" i="7" s="1"/>
  <c r="A34" i="7"/>
  <c r="A149" i="7" s="1"/>
  <c r="A29" i="6"/>
  <c r="A30" i="6"/>
  <c r="I28" i="6"/>
  <c r="I29" i="6"/>
  <c r="I30" i="6"/>
  <c r="I31" i="6"/>
  <c r="A28" i="6"/>
  <c r="I28" i="4"/>
  <c r="I29" i="4"/>
  <c r="I30" i="4"/>
  <c r="I31" i="4"/>
  <c r="A29" i="4"/>
  <c r="A30" i="4"/>
  <c r="A28" i="4"/>
  <c r="BI40" i="2"/>
  <c r="BK40" i="2" s="1"/>
  <c r="BF40" i="2"/>
  <c r="BH40" i="2" s="1"/>
  <c r="BI39" i="2"/>
  <c r="BK39" i="2" s="1"/>
  <c r="BF39" i="2"/>
  <c r="BH39" i="2" s="1"/>
  <c r="BI38" i="2"/>
  <c r="BK38" i="2" s="1"/>
  <c r="BF38" i="2"/>
  <c r="BH38" i="2" s="1"/>
  <c r="BB122" i="2"/>
  <c r="F11" i="34" l="1"/>
  <c r="F25" i="35"/>
  <c r="F56" i="19"/>
  <c r="F19" i="19"/>
  <c r="F27" i="19"/>
  <c r="F13" i="19"/>
  <c r="F50" i="19"/>
  <c r="BE40" i="2"/>
  <c r="BE39" i="2"/>
  <c r="BE38" i="2"/>
  <c r="F198" i="27"/>
  <c r="A25" i="7"/>
  <c r="A140" i="7" s="1"/>
  <c r="I22" i="6"/>
  <c r="I23" i="6"/>
  <c r="BK32" i="2"/>
  <c r="BH32" i="2"/>
  <c r="I22" i="4"/>
  <c r="I23" i="4"/>
  <c r="BE125" i="2"/>
  <c r="BE124" i="2"/>
  <c r="BE123" i="2"/>
  <c r="BE121" i="2"/>
  <c r="BE120" i="2"/>
  <c r="BE119" i="2"/>
  <c r="BE118" i="2"/>
  <c r="BE117" i="2"/>
  <c r="BE116" i="2"/>
  <c r="BE115" i="2"/>
  <c r="BE114" i="2"/>
  <c r="BE113" i="2"/>
  <c r="BE112" i="2"/>
  <c r="BE111" i="2"/>
  <c r="BE110" i="2"/>
  <c r="BE107" i="2"/>
  <c r="BE106" i="2"/>
  <c r="BE105" i="2"/>
  <c r="BE104" i="2"/>
  <c r="BE103" i="2"/>
  <c r="BE102" i="2"/>
  <c r="BE101" i="2"/>
  <c r="BE100" i="2"/>
  <c r="BE99" i="2"/>
  <c r="BE98" i="2"/>
  <c r="BE97" i="2"/>
  <c r="BE96" i="2"/>
  <c r="BE94" i="2"/>
  <c r="BE93" i="2"/>
  <c r="BE92" i="2"/>
  <c r="BE91" i="2"/>
  <c r="BE90" i="2"/>
  <c r="BE89" i="2"/>
  <c r="BE88" i="2"/>
  <c r="BE87" i="2"/>
  <c r="BE86" i="2"/>
  <c r="BE15" i="2"/>
  <c r="BE16" i="2"/>
  <c r="BE17" i="2"/>
  <c r="BE18" i="2"/>
  <c r="BE19" i="2"/>
  <c r="BE20" i="2"/>
  <c r="BE21" i="2"/>
  <c r="BE22" i="2"/>
  <c r="BE24" i="2"/>
  <c r="BE26" i="2"/>
  <c r="BE27" i="2"/>
  <c r="BE28" i="2"/>
  <c r="BE29" i="2"/>
  <c r="BE30" i="2"/>
  <c r="BE31" i="2"/>
  <c r="BE32" i="2"/>
  <c r="BE33" i="2"/>
  <c r="BE34" i="2"/>
  <c r="BE35" i="2"/>
  <c r="BE36" i="2"/>
  <c r="BE37" i="2"/>
  <c r="BE41" i="2"/>
  <c r="BE42" i="2"/>
  <c r="BE43" i="2"/>
  <c r="BE44" i="2"/>
  <c r="BE45" i="2"/>
  <c r="BE46" i="2"/>
  <c r="BE47" i="2"/>
  <c r="BE48" i="2"/>
  <c r="BE49" i="2"/>
  <c r="BE50" i="2"/>
  <c r="BE51" i="2"/>
  <c r="BE52" i="2"/>
  <c r="BE53" i="2"/>
  <c r="BE54" i="2"/>
  <c r="BE55" i="2"/>
  <c r="BE56" i="2"/>
  <c r="BE57" i="2"/>
  <c r="BE58" i="2"/>
  <c r="BE59" i="2"/>
  <c r="BE60" i="2"/>
  <c r="BE61" i="2"/>
  <c r="BE62" i="2"/>
  <c r="BE63" i="2"/>
  <c r="BE64" i="2"/>
  <c r="BE65" i="2"/>
  <c r="BE66" i="2"/>
  <c r="BE67" i="2"/>
  <c r="BE68" i="2"/>
  <c r="BE69" i="2"/>
  <c r="BE70" i="2"/>
  <c r="BE71" i="2"/>
  <c r="BE72" i="2"/>
  <c r="BE73" i="2"/>
  <c r="BE74" i="2"/>
  <c r="BE75" i="2"/>
  <c r="BE76" i="2"/>
  <c r="BE77" i="2"/>
  <c r="BE78" i="2"/>
  <c r="BE79" i="2"/>
  <c r="BE80" i="2"/>
  <c r="BE81" i="2"/>
  <c r="BE82" i="2"/>
  <c r="BE83" i="2"/>
  <c r="BE14" i="2"/>
  <c r="G27" i="13"/>
  <c r="D27" i="13"/>
  <c r="E27" i="13" s="1"/>
  <c r="B195" i="29"/>
  <c r="B104" i="29"/>
  <c r="H27" i="13"/>
  <c r="B351" i="29"/>
  <c r="B286" i="29"/>
  <c r="D207" i="28"/>
  <c r="B262" i="29"/>
  <c r="B240" i="29"/>
  <c r="B214" i="29"/>
  <c r="D203" i="12"/>
  <c r="B197" i="29"/>
  <c r="B188" i="29"/>
  <c r="B184" i="29"/>
  <c r="B163" i="29"/>
  <c r="B107" i="29"/>
  <c r="B115" i="29" s="1"/>
  <c r="B135" i="29" s="1"/>
  <c r="B196" i="29" s="1"/>
  <c r="B25" i="29"/>
  <c r="H12" i="13"/>
  <c r="W12" i="13"/>
  <c r="W13" i="13"/>
  <c r="T13" i="13"/>
  <c r="Q13" i="13"/>
  <c r="N12" i="13"/>
  <c r="N13" i="13"/>
  <c r="K12" i="13"/>
  <c r="E12" i="13"/>
  <c r="X12" i="13" s="1"/>
  <c r="D12" i="13"/>
  <c r="K13" i="13"/>
  <c r="F22" i="14"/>
  <c r="N6" i="13"/>
  <c r="N7" i="13"/>
  <c r="N8" i="13"/>
  <c r="K6" i="13"/>
  <c r="K7" i="13"/>
  <c r="K8" i="13"/>
  <c r="H6" i="13"/>
  <c r="H7" i="13"/>
  <c r="H8" i="13"/>
  <c r="E6" i="13"/>
  <c r="E7" i="13"/>
  <c r="E8" i="13"/>
  <c r="B13" i="29"/>
  <c r="B29" i="29"/>
  <c r="B368" i="29"/>
  <c r="B370" i="29"/>
  <c r="B369" i="29"/>
  <c r="X13" i="13" l="1"/>
  <c r="F42" i="19"/>
  <c r="F57" i="19" s="1"/>
  <c r="X8" i="13"/>
  <c r="X7" i="13"/>
  <c r="X6" i="13"/>
  <c r="G70" i="16"/>
  <c r="G69" i="16"/>
  <c r="G68" i="16"/>
  <c r="G67" i="16"/>
  <c r="G66" i="16"/>
  <c r="G65" i="16"/>
  <c r="G64" i="16"/>
  <c r="G63" i="16"/>
  <c r="G62" i="16"/>
  <c r="G59" i="16"/>
  <c r="G49" i="16"/>
  <c r="G48" i="16"/>
  <c r="G47" i="16"/>
  <c r="G46" i="16"/>
  <c r="G45" i="16"/>
  <c r="G42" i="16"/>
  <c r="G41" i="16"/>
  <c r="G40" i="16"/>
  <c r="G39" i="16"/>
  <c r="G38" i="16"/>
  <c r="G37" i="16"/>
  <c r="G36" i="16"/>
  <c r="G35" i="16"/>
  <c r="G34" i="16"/>
  <c r="G33" i="16"/>
  <c r="G29" i="16"/>
  <c r="G28" i="16"/>
  <c r="G27" i="16"/>
  <c r="G26" i="16"/>
  <c r="G25" i="16"/>
  <c r="G24" i="16"/>
  <c r="G23" i="16"/>
  <c r="G22" i="16"/>
  <c r="G21" i="16"/>
  <c r="G20" i="16"/>
  <c r="G19" i="16"/>
  <c r="G18" i="16"/>
  <c r="G17" i="16"/>
  <c r="G16" i="16"/>
  <c r="G12" i="16"/>
  <c r="G11" i="16"/>
  <c r="G10" i="16"/>
  <c r="G9" i="16"/>
  <c r="G8" i="16"/>
  <c r="G7" i="16"/>
  <c r="G6" i="16"/>
  <c r="G5" i="16"/>
  <c r="F16" i="26"/>
  <c r="F15" i="26"/>
  <c r="F14" i="26"/>
  <c r="F13" i="26"/>
  <c r="F8" i="26"/>
  <c r="F7" i="26"/>
  <c r="F27" i="25"/>
  <c r="F21" i="25"/>
  <c r="F24" i="25"/>
  <c r="F12" i="25"/>
  <c r="F13" i="25"/>
  <c r="F14" i="25"/>
  <c r="F15" i="25"/>
  <c r="F16" i="25"/>
  <c r="F17" i="25"/>
  <c r="F18" i="25"/>
  <c r="F11" i="25"/>
  <c r="F14" i="22"/>
  <c r="F13" i="22"/>
  <c r="F10" i="22"/>
  <c r="F7" i="22"/>
  <c r="F6" i="22"/>
  <c r="F24" i="21"/>
  <c r="F23" i="21"/>
  <c r="F20" i="21"/>
  <c r="F19" i="21"/>
  <c r="F18" i="21"/>
  <c r="F17" i="21"/>
  <c r="F16" i="21"/>
  <c r="F15" i="21"/>
  <c r="F14" i="21"/>
  <c r="F13" i="21"/>
  <c r="F7" i="21"/>
  <c r="F8" i="21"/>
  <c r="F9" i="21"/>
  <c r="F10" i="21"/>
  <c r="F6" i="21"/>
  <c r="F54" i="20"/>
  <c r="F53" i="20"/>
  <c r="F52" i="20"/>
  <c r="F51" i="20"/>
  <c r="F50" i="20"/>
  <c r="F49" i="20"/>
  <c r="F48" i="20"/>
  <c r="F45" i="20"/>
  <c r="F44" i="20"/>
  <c r="F43" i="20"/>
  <c r="F42" i="20"/>
  <c r="F41" i="20"/>
  <c r="F40" i="20"/>
  <c r="F37" i="20"/>
  <c r="F36" i="20"/>
  <c r="F35" i="20"/>
  <c r="F34" i="20"/>
  <c r="F33" i="20"/>
  <c r="F29" i="20"/>
  <c r="F27" i="20"/>
  <c r="F26" i="20"/>
  <c r="F25" i="20"/>
  <c r="F21" i="20"/>
  <c r="F20" i="20"/>
  <c r="F17" i="20"/>
  <c r="F14" i="20"/>
  <c r="F13" i="20"/>
  <c r="F12" i="20"/>
  <c r="F9" i="20"/>
  <c r="F8" i="20"/>
  <c r="F7" i="20"/>
  <c r="F6" i="20"/>
  <c r="E66" i="16"/>
  <c r="E29" i="16"/>
  <c r="A85" i="7"/>
  <c r="A200" i="7" s="1"/>
  <c r="A86" i="7"/>
  <c r="A201" i="7" s="1"/>
  <c r="I102" i="6"/>
  <c r="I102" i="4"/>
  <c r="BM93" i="2"/>
  <c r="BK93" i="2"/>
  <c r="BH93" i="2"/>
  <c r="BM102" i="2"/>
  <c r="F200" i="28"/>
  <c r="F241" i="7"/>
  <c r="J174" i="27" s="1"/>
  <c r="F265" i="28"/>
  <c r="D107" i="33"/>
  <c r="B106" i="29"/>
  <c r="F291" i="28"/>
  <c r="D199" i="27" l="1"/>
  <c r="F199" i="27" s="1"/>
  <c r="F278" i="28"/>
  <c r="D391" i="27"/>
  <c r="F389" i="27"/>
  <c r="F386" i="27"/>
  <c r="C51" i="30" l="1"/>
  <c r="C45" i="30"/>
  <c r="C40" i="30"/>
  <c r="C36" i="30"/>
  <c r="C24" i="30"/>
  <c r="C19" i="30"/>
  <c r="C13" i="30"/>
  <c r="C7" i="30"/>
  <c r="A94" i="7"/>
  <c r="A209" i="7" s="1"/>
  <c r="A95" i="7"/>
  <c r="A210" i="7" s="1"/>
  <c r="A96" i="7"/>
  <c r="A211" i="7" s="1"/>
  <c r="I111" i="6"/>
  <c r="I112" i="6"/>
  <c r="I113" i="6"/>
  <c r="I114" i="6"/>
  <c r="I111" i="4" l="1"/>
  <c r="I112" i="4"/>
  <c r="I113" i="4"/>
  <c r="BL102" i="2"/>
  <c r="BH102" i="2"/>
  <c r="BI102" i="2"/>
  <c r="BK102" i="2" s="1"/>
  <c r="BM103" i="2"/>
  <c r="BM104" i="2"/>
  <c r="BL103" i="2"/>
  <c r="BH103" i="2"/>
  <c r="BK103" i="2"/>
  <c r="BK104" i="2"/>
  <c r="BH104" i="2"/>
  <c r="BH101" i="2"/>
  <c r="O73" i="33"/>
  <c r="AD90" i="33"/>
  <c r="AC90" i="33"/>
  <c r="AB90" i="33"/>
  <c r="AA90" i="33"/>
  <c r="Z90" i="33"/>
  <c r="Y90" i="33"/>
  <c r="X90" i="33"/>
  <c r="W90" i="33"/>
  <c r="V90" i="33"/>
  <c r="U90" i="33"/>
  <c r="T90" i="33"/>
  <c r="S90" i="33"/>
  <c r="R90" i="33"/>
  <c r="Q90" i="33"/>
  <c r="P90" i="33"/>
  <c r="O90" i="33"/>
  <c r="N90" i="33"/>
  <c r="M90" i="33"/>
  <c r="L90" i="33"/>
  <c r="K90" i="33"/>
  <c r="J90" i="33"/>
  <c r="I90" i="33"/>
  <c r="H90" i="33"/>
  <c r="G90" i="33"/>
  <c r="F90" i="33"/>
  <c r="E90" i="33"/>
  <c r="D90" i="33"/>
  <c r="C90" i="33"/>
  <c r="U35" i="33"/>
  <c r="AC82" i="33" s="1"/>
  <c r="U34" i="33"/>
  <c r="AB82" i="33" s="1"/>
  <c r="U33" i="33"/>
  <c r="AA82" i="33" s="1"/>
  <c r="U32" i="33"/>
  <c r="Z82" i="33" s="1"/>
  <c r="U31" i="33"/>
  <c r="Y82" i="33" s="1"/>
  <c r="U30" i="33"/>
  <c r="X82" i="33" s="1"/>
  <c r="U28" i="33"/>
  <c r="V82" i="33" s="1"/>
  <c r="U27" i="33"/>
  <c r="U82" i="33" s="1"/>
  <c r="U26" i="33"/>
  <c r="T82" i="33" s="1"/>
  <c r="U25" i="33"/>
  <c r="S82" i="33" s="1"/>
  <c r="U24" i="33"/>
  <c r="R82" i="33" s="1"/>
  <c r="U23" i="33"/>
  <c r="Q82" i="33" s="1"/>
  <c r="U20" i="33"/>
  <c r="N82" i="33" s="1"/>
  <c r="U18" i="33"/>
  <c r="L82" i="33" s="1"/>
  <c r="U16" i="33"/>
  <c r="J82" i="33" s="1"/>
  <c r="U15" i="33"/>
  <c r="I82" i="33" s="1"/>
  <c r="U12" i="33"/>
  <c r="F82" i="33" s="1"/>
  <c r="U11" i="33"/>
  <c r="E82" i="33" s="1"/>
  <c r="U10" i="33"/>
  <c r="D82" i="33" s="1"/>
  <c r="D212" i="28" l="1"/>
  <c r="A28" i="7"/>
  <c r="A143" i="7" s="1"/>
  <c r="I25" i="6"/>
  <c r="I25" i="4"/>
  <c r="BK35" i="2"/>
  <c r="BH35" i="2"/>
  <c r="E59" i="16" l="1"/>
  <c r="E40" i="16"/>
  <c r="E39" i="16"/>
  <c r="E38" i="16"/>
  <c r="E37" i="16"/>
  <c r="E21" i="16"/>
  <c r="E20" i="16"/>
  <c r="D7" i="15"/>
  <c r="M28" i="13"/>
  <c r="F216" i="27"/>
  <c r="F255" i="27"/>
  <c r="F256" i="27"/>
  <c r="F259" i="27"/>
  <c r="F263" i="27"/>
  <c r="F264" i="27"/>
  <c r="F296" i="27"/>
  <c r="F297" i="27"/>
  <c r="F298" i="27"/>
  <c r="F315" i="27"/>
  <c r="F316" i="27"/>
  <c r="F318" i="27"/>
  <c r="F344" i="27"/>
  <c r="F356" i="27"/>
  <c r="F357" i="27"/>
  <c r="F359" i="27"/>
  <c r="F360" i="27"/>
  <c r="F376" i="27"/>
  <c r="F325" i="27"/>
  <c r="F21" i="24"/>
  <c r="F20" i="24"/>
  <c r="F19" i="24"/>
  <c r="B106" i="33" l="1"/>
  <c r="B107" i="33" s="1"/>
  <c r="AD79" i="33"/>
  <c r="AC79" i="33"/>
  <c r="AB79" i="33"/>
  <c r="AA79" i="33"/>
  <c r="Y79" i="33"/>
  <c r="W79" i="33"/>
  <c r="U79" i="33"/>
  <c r="R79" i="33"/>
  <c r="P79" i="33"/>
  <c r="O79" i="33"/>
  <c r="M79" i="33"/>
  <c r="K79" i="33"/>
  <c r="J79" i="33"/>
  <c r="I79" i="33"/>
  <c r="H79" i="33"/>
  <c r="G79" i="33"/>
  <c r="F79" i="33"/>
  <c r="E79" i="33"/>
  <c r="D79" i="33"/>
  <c r="C79" i="33"/>
  <c r="AC41" i="33"/>
  <c r="AA41" i="33"/>
  <c r="Y41" i="33"/>
  <c r="X41" i="33"/>
  <c r="W41" i="33"/>
  <c r="V41" i="33"/>
  <c r="U41" i="33"/>
  <c r="T41" i="33"/>
  <c r="S41" i="33"/>
  <c r="R41" i="33"/>
  <c r="Q41" i="33"/>
  <c r="O41" i="33"/>
  <c r="N41" i="33"/>
  <c r="J41" i="33"/>
  <c r="I41" i="33"/>
  <c r="F41" i="33"/>
  <c r="E41" i="33"/>
  <c r="D41" i="33"/>
  <c r="C41" i="33"/>
  <c r="B41" i="33"/>
  <c r="AF36" i="33"/>
  <c r="S36" i="33"/>
  <c r="AD72" i="33" s="1"/>
  <c r="Q36" i="33"/>
  <c r="AD71" i="33" s="1"/>
  <c r="N36" i="33"/>
  <c r="L36" i="33"/>
  <c r="AD62" i="33" s="1"/>
  <c r="J36" i="33"/>
  <c r="AD57" i="33" s="1"/>
  <c r="G36" i="33"/>
  <c r="AD51" i="33" s="1"/>
  <c r="AF35" i="33"/>
  <c r="S35" i="33"/>
  <c r="AC72" i="33" s="1"/>
  <c r="Q35" i="33"/>
  <c r="AC71" i="33" s="1"/>
  <c r="N35" i="33"/>
  <c r="O35" i="33" s="1"/>
  <c r="AC63" i="33" s="1"/>
  <c r="L35" i="33"/>
  <c r="AC62" i="33" s="1"/>
  <c r="J35" i="33"/>
  <c r="AC57" i="33" s="1"/>
  <c r="AF34" i="33"/>
  <c r="S34" i="33"/>
  <c r="AB72" i="33" s="1"/>
  <c r="Q34" i="33"/>
  <c r="AB71" i="33" s="1"/>
  <c r="N34" i="33"/>
  <c r="O34" i="33" s="1"/>
  <c r="AB63" i="33" s="1"/>
  <c r="L34" i="33"/>
  <c r="AB62" i="33" s="1"/>
  <c r="J34" i="33"/>
  <c r="AB57" i="33" s="1"/>
  <c r="D34" i="33"/>
  <c r="AB41" i="33" s="1"/>
  <c r="AF33" i="33"/>
  <c r="S33" i="33"/>
  <c r="AA72" i="33" s="1"/>
  <c r="Q33" i="33"/>
  <c r="AA71" i="33" s="1"/>
  <c r="N33" i="33"/>
  <c r="O33" i="33" s="1"/>
  <c r="AA63" i="33" s="1"/>
  <c r="L33" i="33"/>
  <c r="AA62" i="33" s="1"/>
  <c r="J33" i="33"/>
  <c r="AA57" i="33" s="1"/>
  <c r="AF32" i="33"/>
  <c r="S32" i="33"/>
  <c r="Z72" i="33" s="1"/>
  <c r="Q32" i="33"/>
  <c r="Z71" i="33" s="1"/>
  <c r="N32" i="33"/>
  <c r="O32" i="33" s="1"/>
  <c r="Z63" i="33" s="1"/>
  <c r="L32" i="33"/>
  <c r="Z62" i="33" s="1"/>
  <c r="J32" i="33"/>
  <c r="Z57" i="33" s="1"/>
  <c r="D32" i="33"/>
  <c r="Z41" i="33" s="1"/>
  <c r="AF31" i="33"/>
  <c r="S31" i="33"/>
  <c r="Y72" i="33" s="1"/>
  <c r="Q31" i="33"/>
  <c r="Y71" i="33" s="1"/>
  <c r="N31" i="33"/>
  <c r="O31" i="33" s="1"/>
  <c r="Y63" i="33" s="1"/>
  <c r="L31" i="33"/>
  <c r="Y62" i="33" s="1"/>
  <c r="J31" i="33"/>
  <c r="Y57" i="33" s="1"/>
  <c r="AF30" i="33"/>
  <c r="S30" i="33"/>
  <c r="X72" i="33" s="1"/>
  <c r="Q30" i="33"/>
  <c r="X71" i="33" s="1"/>
  <c r="N30" i="33"/>
  <c r="O30" i="33" s="1"/>
  <c r="X63" i="33" s="1"/>
  <c r="L30" i="33"/>
  <c r="X62" i="33" s="1"/>
  <c r="J30" i="33"/>
  <c r="X57" i="33" s="1"/>
  <c r="AF29" i="33"/>
  <c r="S29" i="33"/>
  <c r="W72" i="33" s="1"/>
  <c r="Q29" i="33"/>
  <c r="W71" i="33" s="1"/>
  <c r="N29" i="33"/>
  <c r="L29" i="33"/>
  <c r="W62" i="33" s="1"/>
  <c r="J29" i="33"/>
  <c r="W57" i="33" s="1"/>
  <c r="AF28" i="33"/>
  <c r="S28" i="33"/>
  <c r="V72" i="33" s="1"/>
  <c r="Q28" i="33"/>
  <c r="V71" i="33" s="1"/>
  <c r="N28" i="33"/>
  <c r="O28" i="33" s="1"/>
  <c r="V63" i="33" s="1"/>
  <c r="L28" i="33"/>
  <c r="V62" i="33" s="1"/>
  <c r="J28" i="33"/>
  <c r="V57" i="33" s="1"/>
  <c r="AF27" i="33"/>
  <c r="S27" i="33"/>
  <c r="U72" i="33" s="1"/>
  <c r="Q27" i="33"/>
  <c r="U71" i="33" s="1"/>
  <c r="N27" i="33"/>
  <c r="O27" i="33" s="1"/>
  <c r="U63" i="33" s="1"/>
  <c r="L27" i="33"/>
  <c r="U62" i="33" s="1"/>
  <c r="J27" i="33"/>
  <c r="U57" i="33" s="1"/>
  <c r="AF26" i="33"/>
  <c r="S26" i="33"/>
  <c r="T72" i="33" s="1"/>
  <c r="Q26" i="33"/>
  <c r="T71" i="33" s="1"/>
  <c r="N26" i="33"/>
  <c r="O26" i="33" s="1"/>
  <c r="T63" i="33" s="1"/>
  <c r="L26" i="33"/>
  <c r="T62" i="33" s="1"/>
  <c r="J26" i="33"/>
  <c r="T57" i="33" s="1"/>
  <c r="AF25" i="33"/>
  <c r="S25" i="33"/>
  <c r="S72" i="33" s="1"/>
  <c r="Q25" i="33"/>
  <c r="S71" i="33" s="1"/>
  <c r="N25" i="33"/>
  <c r="O25" i="33" s="1"/>
  <c r="S63" i="33" s="1"/>
  <c r="L25" i="33"/>
  <c r="S62" i="33" s="1"/>
  <c r="J25" i="33"/>
  <c r="S57" i="33" s="1"/>
  <c r="AF24" i="33"/>
  <c r="S24" i="33"/>
  <c r="R72" i="33" s="1"/>
  <c r="Q24" i="33"/>
  <c r="R71" i="33" s="1"/>
  <c r="N24" i="33"/>
  <c r="O24" i="33" s="1"/>
  <c r="R63" i="33" s="1"/>
  <c r="L24" i="33"/>
  <c r="R62" i="33" s="1"/>
  <c r="J24" i="33"/>
  <c r="R57" i="33" s="1"/>
  <c r="AF23" i="33"/>
  <c r="S23" i="33"/>
  <c r="Q72" i="33" s="1"/>
  <c r="Q23" i="33"/>
  <c r="Q71" i="33" s="1"/>
  <c r="N23" i="33"/>
  <c r="O23" i="33" s="1"/>
  <c r="Q63" i="33" s="1"/>
  <c r="L23" i="33"/>
  <c r="Q62" i="33" s="1"/>
  <c r="J23" i="33"/>
  <c r="Q57" i="33" s="1"/>
  <c r="AF22" i="33"/>
  <c r="S22" i="33"/>
  <c r="P72" i="33" s="1"/>
  <c r="Q22" i="33"/>
  <c r="P71" i="33" s="1"/>
  <c r="N22" i="33"/>
  <c r="K22" i="33"/>
  <c r="L22" i="33" s="1"/>
  <c r="P62" i="33" s="1"/>
  <c r="J22" i="33"/>
  <c r="P57" i="33" s="1"/>
  <c r="AF21" i="33"/>
  <c r="S21" i="33"/>
  <c r="O72" i="33" s="1"/>
  <c r="Q21" i="33"/>
  <c r="O71" i="33" s="1"/>
  <c r="N21" i="33"/>
  <c r="L21" i="33"/>
  <c r="O62" i="33" s="1"/>
  <c r="J21" i="33"/>
  <c r="O57" i="33" s="1"/>
  <c r="AF20" i="33"/>
  <c r="S20" i="33"/>
  <c r="N72" i="33" s="1"/>
  <c r="Q20" i="33"/>
  <c r="N71" i="33" s="1"/>
  <c r="N20" i="33"/>
  <c r="O20" i="33" s="1"/>
  <c r="N63" i="33" s="1"/>
  <c r="L20" i="33"/>
  <c r="N62" i="33" s="1"/>
  <c r="J20" i="33"/>
  <c r="N57" i="33" s="1"/>
  <c r="AF19" i="33"/>
  <c r="S19" i="33"/>
  <c r="M72" i="33" s="1"/>
  <c r="Q19" i="33"/>
  <c r="M71" i="33" s="1"/>
  <c r="N19" i="33"/>
  <c r="L19" i="33"/>
  <c r="M62" i="33" s="1"/>
  <c r="J19" i="33"/>
  <c r="M57" i="33" s="1"/>
  <c r="AF18" i="33"/>
  <c r="S18" i="33"/>
  <c r="L72" i="33" s="1"/>
  <c r="Q18" i="33"/>
  <c r="L71" i="33" s="1"/>
  <c r="N18" i="33"/>
  <c r="O18" i="33" s="1"/>
  <c r="L63" i="33" s="1"/>
  <c r="L18" i="33"/>
  <c r="J18" i="33"/>
  <c r="L57" i="33" s="1"/>
  <c r="D18" i="33"/>
  <c r="L41" i="33" s="1"/>
  <c r="AF17" i="33"/>
  <c r="S17" i="33"/>
  <c r="K72" i="33" s="1"/>
  <c r="Q17" i="33"/>
  <c r="K71" i="33" s="1"/>
  <c r="N17" i="33"/>
  <c r="L17" i="33"/>
  <c r="K62" i="33" s="1"/>
  <c r="J17" i="33"/>
  <c r="K57" i="33" s="1"/>
  <c r="AF16" i="33"/>
  <c r="S16" i="33"/>
  <c r="J72" i="33" s="1"/>
  <c r="Q16" i="33"/>
  <c r="J71" i="33" s="1"/>
  <c r="N16" i="33"/>
  <c r="O16" i="33" s="1"/>
  <c r="J63" i="33" s="1"/>
  <c r="L16" i="33"/>
  <c r="J62" i="33" s="1"/>
  <c r="J16" i="33"/>
  <c r="J57" i="33" s="1"/>
  <c r="AF15" i="33"/>
  <c r="S15" i="33"/>
  <c r="I72" i="33" s="1"/>
  <c r="Q15" i="33"/>
  <c r="I71" i="33" s="1"/>
  <c r="N15" i="33"/>
  <c r="O15" i="33" s="1"/>
  <c r="I63" i="33" s="1"/>
  <c r="L15" i="33"/>
  <c r="I62" i="33" s="1"/>
  <c r="J15" i="33"/>
  <c r="I57" i="33" s="1"/>
  <c r="AF14" i="33"/>
  <c r="S14" i="33"/>
  <c r="H72" i="33" s="1"/>
  <c r="Q14" i="33"/>
  <c r="H71" i="33" s="1"/>
  <c r="N14" i="33"/>
  <c r="L14" i="33"/>
  <c r="H62" i="33" s="1"/>
  <c r="J14" i="33"/>
  <c r="H57" i="33" s="1"/>
  <c r="AF13" i="33"/>
  <c r="S13" i="33"/>
  <c r="G72" i="33" s="1"/>
  <c r="Q13" i="33"/>
  <c r="G71" i="33" s="1"/>
  <c r="N13" i="33"/>
  <c r="L13" i="33"/>
  <c r="G62" i="33" s="1"/>
  <c r="J13" i="33"/>
  <c r="G57" i="33" s="1"/>
  <c r="D13" i="33"/>
  <c r="D14" i="33" s="1"/>
  <c r="H41" i="33" s="1"/>
  <c r="AF12" i="33"/>
  <c r="S12" i="33"/>
  <c r="F72" i="33" s="1"/>
  <c r="Q12" i="33"/>
  <c r="F71" i="33" s="1"/>
  <c r="N12" i="33"/>
  <c r="O12" i="33" s="1"/>
  <c r="F63" i="33" s="1"/>
  <c r="L12" i="33"/>
  <c r="F62" i="33" s="1"/>
  <c r="J12" i="33"/>
  <c r="F57" i="33" s="1"/>
  <c r="AF11" i="33"/>
  <c r="S11" i="33"/>
  <c r="E72" i="33" s="1"/>
  <c r="Q11" i="33"/>
  <c r="E71" i="33" s="1"/>
  <c r="N11" i="33"/>
  <c r="O11" i="33" s="1"/>
  <c r="E63" i="33" s="1"/>
  <c r="L11" i="33"/>
  <c r="E62" i="33" s="1"/>
  <c r="J11" i="33"/>
  <c r="E57" i="33" s="1"/>
  <c r="AF10" i="33"/>
  <c r="S10" i="33"/>
  <c r="D72" i="33" s="1"/>
  <c r="Q10" i="33"/>
  <c r="D71" i="33" s="1"/>
  <c r="N10" i="33"/>
  <c r="O10" i="33" s="1"/>
  <c r="D63" i="33" s="1"/>
  <c r="L10" i="33"/>
  <c r="D62" i="33" s="1"/>
  <c r="J10" i="33"/>
  <c r="D57" i="33" s="1"/>
  <c r="AF9" i="33"/>
  <c r="S9" i="33"/>
  <c r="C72" i="33" s="1"/>
  <c r="Q9" i="33"/>
  <c r="C71" i="33" s="1"/>
  <c r="N9" i="33"/>
  <c r="L9" i="33"/>
  <c r="C62" i="33" s="1"/>
  <c r="J9" i="33"/>
  <c r="C57" i="33" s="1"/>
  <c r="AF8" i="33"/>
  <c r="V8" i="33"/>
  <c r="V9" i="33" s="1"/>
  <c r="T8" i="33"/>
  <c r="T9" i="33" s="1"/>
  <c r="S8" i="33"/>
  <c r="B72" i="33" s="1"/>
  <c r="Q8" i="33"/>
  <c r="B71" i="33" s="1"/>
  <c r="N8" i="33"/>
  <c r="O8" i="33" s="1"/>
  <c r="B63" i="33" s="1"/>
  <c r="M8" i="33"/>
  <c r="M9" i="33" s="1"/>
  <c r="M10" i="33" s="1"/>
  <c r="M11" i="33" s="1"/>
  <c r="M12" i="33" s="1"/>
  <c r="M13" i="33" s="1"/>
  <c r="L8" i="33"/>
  <c r="B62" i="33" s="1"/>
  <c r="J8" i="33"/>
  <c r="B57" i="33" s="1"/>
  <c r="C8" i="33"/>
  <c r="B1" i="33"/>
  <c r="E10" i="31"/>
  <c r="C16" i="31" s="1"/>
  <c r="C16" i="5" s="1"/>
  <c r="A15" i="5"/>
  <c r="A16" i="5"/>
  <c r="A17" i="5"/>
  <c r="A14" i="5"/>
  <c r="J7" i="31"/>
  <c r="J6" i="31"/>
  <c r="H7" i="31"/>
  <c r="H6" i="31"/>
  <c r="N4" i="5"/>
  <c r="N5" i="5"/>
  <c r="N6" i="5"/>
  <c r="N3" i="5"/>
  <c r="C15" i="31" l="1"/>
  <c r="C15" i="5" s="1"/>
  <c r="C17" i="31"/>
  <c r="C17" i="5" s="1"/>
  <c r="D16" i="31"/>
  <c r="D16" i="5" s="1"/>
  <c r="D14" i="31"/>
  <c r="D14" i="5" s="1"/>
  <c r="D15" i="31"/>
  <c r="D15" i="5" s="1"/>
  <c r="D17" i="31"/>
  <c r="D17" i="5" s="1"/>
  <c r="C14" i="31"/>
  <c r="C14" i="5" s="1"/>
  <c r="T10" i="33"/>
  <c r="T11" i="33" s="1"/>
  <c r="T12" i="33" s="1"/>
  <c r="T13" i="33" s="1"/>
  <c r="U9" i="33"/>
  <c r="C82" i="33" s="1"/>
  <c r="W8" i="33"/>
  <c r="B93" i="33" s="1"/>
  <c r="G41" i="33"/>
  <c r="D17" i="33"/>
  <c r="K41" i="33" s="1"/>
  <c r="D19" i="33"/>
  <c r="D22" i="33" s="1"/>
  <c r="O9" i="33"/>
  <c r="C63" i="33" s="1"/>
  <c r="O13" i="33"/>
  <c r="G63" i="33" s="1"/>
  <c r="M14" i="33"/>
  <c r="E8" i="33"/>
  <c r="B43" i="33" s="1"/>
  <c r="H8" i="33"/>
  <c r="B61" i="33" s="1"/>
  <c r="B52" i="33" s="1"/>
  <c r="B76" i="33" s="1"/>
  <c r="C9" i="33"/>
  <c r="G8" i="33"/>
  <c r="B51" i="33" s="1"/>
  <c r="M41" i="33"/>
  <c r="F8" i="33"/>
  <c r="B48" i="33" s="1"/>
  <c r="V10" i="33"/>
  <c r="W9" i="33"/>
  <c r="C93" i="33" s="1"/>
  <c r="L62" i="33"/>
  <c r="D206" i="28"/>
  <c r="J3" i="5"/>
  <c r="J4" i="5" s="1"/>
  <c r="J5" i="5" s="1"/>
  <c r="J6" i="5" s="1"/>
  <c r="I3" i="5"/>
  <c r="I4" i="5" s="1"/>
  <c r="I5" i="5" s="1"/>
  <c r="I6" i="5" s="1"/>
  <c r="G3" i="5"/>
  <c r="G4" i="5" s="1"/>
  <c r="G5" i="5" s="1"/>
  <c r="G6" i="5" s="1"/>
  <c r="O3" i="5"/>
  <c r="BB3" i="2"/>
  <c r="O2" i="8"/>
  <c r="H39" i="8" s="1"/>
  <c r="J39" i="8" s="1"/>
  <c r="G5" i="8"/>
  <c r="G6" i="8"/>
  <c r="G7" i="8"/>
  <c r="G8" i="8"/>
  <c r="G9" i="8"/>
  <c r="G10" i="8"/>
  <c r="G11" i="8"/>
  <c r="G12" i="8"/>
  <c r="G13" i="8"/>
  <c r="G14" i="8"/>
  <c r="G15" i="8"/>
  <c r="G16" i="8"/>
  <c r="G17" i="8"/>
  <c r="G18" i="8"/>
  <c r="G19" i="8"/>
  <c r="G20" i="8"/>
  <c r="G21" i="8"/>
  <c r="G22" i="8"/>
  <c r="G23" i="8"/>
  <c r="G24" i="8"/>
  <c r="G25" i="8"/>
  <c r="G26" i="8"/>
  <c r="G27" i="8"/>
  <c r="G28" i="8"/>
  <c r="G29" i="8"/>
  <c r="G30" i="8"/>
  <c r="G31" i="8"/>
  <c r="G32" i="8"/>
  <c r="G33" i="8"/>
  <c r="G34" i="8"/>
  <c r="G35" i="8"/>
  <c r="G36" i="8"/>
  <c r="G37" i="8"/>
  <c r="G38" i="8"/>
  <c r="G39" i="8"/>
  <c r="G4" i="8"/>
  <c r="D218" i="28"/>
  <c r="D14" i="24"/>
  <c r="I152" i="6"/>
  <c r="I153" i="6"/>
  <c r="I154" i="6"/>
  <c r="I155" i="6"/>
  <c r="I156" i="6"/>
  <c r="I157" i="6"/>
  <c r="I158" i="6"/>
  <c r="I151" i="6"/>
  <c r="I133" i="6"/>
  <c r="I134" i="6"/>
  <c r="I135" i="6"/>
  <c r="I136" i="6"/>
  <c r="I137" i="6"/>
  <c r="I138" i="6"/>
  <c r="I139" i="6"/>
  <c r="I140" i="6"/>
  <c r="I141" i="6"/>
  <c r="I142" i="6"/>
  <c r="I143" i="6"/>
  <c r="I145" i="6"/>
  <c r="I146" i="6"/>
  <c r="I147" i="6"/>
  <c r="I132" i="6"/>
  <c r="I96" i="6"/>
  <c r="I97" i="6"/>
  <c r="I98" i="6"/>
  <c r="I99" i="6"/>
  <c r="I100" i="6"/>
  <c r="I101" i="6"/>
  <c r="I103" i="6"/>
  <c r="I106" i="6"/>
  <c r="I107" i="6"/>
  <c r="I108" i="6"/>
  <c r="I109" i="6"/>
  <c r="I110" i="6"/>
  <c r="I115" i="6"/>
  <c r="I116" i="6"/>
  <c r="I95" i="6"/>
  <c r="I52" i="6"/>
  <c r="I53" i="6"/>
  <c r="I54" i="6"/>
  <c r="I55" i="6"/>
  <c r="I56" i="6"/>
  <c r="I57" i="6"/>
  <c r="I58" i="6"/>
  <c r="I59" i="6"/>
  <c r="I60" i="6"/>
  <c r="I61" i="6"/>
  <c r="I62" i="6"/>
  <c r="I63" i="6"/>
  <c r="I64" i="6"/>
  <c r="I65" i="6"/>
  <c r="I66" i="6"/>
  <c r="I67" i="6"/>
  <c r="I68" i="6"/>
  <c r="I69" i="6"/>
  <c r="I70" i="6"/>
  <c r="I71" i="6"/>
  <c r="I72" i="6"/>
  <c r="I73" i="6"/>
  <c r="I74" i="6"/>
  <c r="I75" i="6"/>
  <c r="I76" i="6"/>
  <c r="I77" i="6"/>
  <c r="I78" i="6"/>
  <c r="I79" i="6"/>
  <c r="I80" i="6"/>
  <c r="I81" i="6"/>
  <c r="I82" i="6"/>
  <c r="I83" i="6"/>
  <c r="I51" i="6"/>
  <c r="I5" i="6"/>
  <c r="I6" i="6"/>
  <c r="I7" i="6"/>
  <c r="I8" i="6"/>
  <c r="I9" i="6"/>
  <c r="I10" i="6"/>
  <c r="I11" i="6"/>
  <c r="I12" i="6"/>
  <c r="I14" i="6"/>
  <c r="I16" i="6"/>
  <c r="I17" i="6"/>
  <c r="I18" i="6"/>
  <c r="I19" i="6"/>
  <c r="I20" i="6"/>
  <c r="I21" i="6"/>
  <c r="I24" i="6"/>
  <c r="I26" i="6"/>
  <c r="I27" i="6"/>
  <c r="I32" i="6"/>
  <c r="I33" i="6"/>
  <c r="I34" i="6"/>
  <c r="I35" i="6"/>
  <c r="I36" i="6"/>
  <c r="I37" i="6"/>
  <c r="I38" i="6"/>
  <c r="I39" i="6"/>
  <c r="I40" i="6"/>
  <c r="I4" i="6"/>
  <c r="B4" i="6" s="1"/>
  <c r="C31" i="30"/>
  <c r="I170" i="4"/>
  <c r="I171" i="4"/>
  <c r="I169" i="4"/>
  <c r="BL147" i="2"/>
  <c r="BI147" i="2"/>
  <c r="BK147" i="2" s="1"/>
  <c r="BH147" i="2"/>
  <c r="BL146" i="2"/>
  <c r="BI146" i="2"/>
  <c r="BK146" i="2" s="1"/>
  <c r="BH146" i="2"/>
  <c r="BL145" i="2"/>
  <c r="BI145" i="2"/>
  <c r="BK145" i="2" s="1"/>
  <c r="BH145" i="2"/>
  <c r="T14" i="33" l="1"/>
  <c r="U13" i="33"/>
  <c r="G82" i="33" s="1"/>
  <c r="B94" i="33"/>
  <c r="H24" i="8"/>
  <c r="J24" i="8" s="1"/>
  <c r="H10" i="8"/>
  <c r="J10" i="8" s="1"/>
  <c r="H28" i="8"/>
  <c r="J28" i="8" s="1"/>
  <c r="H15" i="8"/>
  <c r="J15" i="8" s="1"/>
  <c r="H32" i="8"/>
  <c r="J32" i="8" s="1"/>
  <c r="H6" i="8"/>
  <c r="J6" i="8" s="1"/>
  <c r="H19" i="8"/>
  <c r="J19" i="8" s="1"/>
  <c r="H36" i="8"/>
  <c r="J36" i="8" s="1"/>
  <c r="H7" i="8"/>
  <c r="J7" i="8" s="1"/>
  <c r="H11" i="8"/>
  <c r="J11" i="8" s="1"/>
  <c r="H16" i="8"/>
  <c r="J16" i="8" s="1"/>
  <c r="H20" i="8"/>
  <c r="J20" i="8" s="1"/>
  <c r="H25" i="8"/>
  <c r="J25" i="8" s="1"/>
  <c r="H29" i="8"/>
  <c r="J29" i="8" s="1"/>
  <c r="H33" i="8"/>
  <c r="J33" i="8" s="1"/>
  <c r="H37" i="8"/>
  <c r="J37" i="8" s="1"/>
  <c r="H4" i="8"/>
  <c r="J4" i="8" s="1"/>
  <c r="H8" i="8"/>
  <c r="J8" i="8" s="1"/>
  <c r="H12" i="8"/>
  <c r="J12" i="8" s="1"/>
  <c r="H17" i="8"/>
  <c r="J17" i="8" s="1"/>
  <c r="H21" i="8"/>
  <c r="J21" i="8" s="1"/>
  <c r="H26" i="8"/>
  <c r="J26" i="8" s="1"/>
  <c r="H30" i="8"/>
  <c r="J30" i="8" s="1"/>
  <c r="H34" i="8"/>
  <c r="J34" i="8" s="1"/>
  <c r="H38" i="8"/>
  <c r="J38" i="8" s="1"/>
  <c r="H13" i="8"/>
  <c r="H5" i="8"/>
  <c r="J5" i="8" s="1"/>
  <c r="H9" i="8"/>
  <c r="J9" i="8" s="1"/>
  <c r="H14" i="8"/>
  <c r="J14" i="8" s="1"/>
  <c r="H18" i="8"/>
  <c r="H23" i="8"/>
  <c r="J23" i="8" s="1"/>
  <c r="H27" i="8"/>
  <c r="J27" i="8" s="1"/>
  <c r="H31" i="8"/>
  <c r="J31" i="8" s="1"/>
  <c r="H35" i="8"/>
  <c r="J35" i="8" s="1"/>
  <c r="P41" i="33"/>
  <c r="D36" i="33"/>
  <c r="AD41" i="33" s="1"/>
  <c r="E9" i="33"/>
  <c r="C43" i="33" s="1"/>
  <c r="F9" i="33"/>
  <c r="C48" i="33" s="1"/>
  <c r="C10" i="33"/>
  <c r="H9" i="33"/>
  <c r="C61" i="33" s="1"/>
  <c r="C52" i="33" s="1"/>
  <c r="C76" i="33" s="1"/>
  <c r="G9" i="33"/>
  <c r="C51" i="33" s="1"/>
  <c r="W10" i="33"/>
  <c r="D93" i="33" s="1"/>
  <c r="V11" i="33"/>
  <c r="M15" i="33"/>
  <c r="M16" i="33" s="1"/>
  <c r="M17" i="33" s="1"/>
  <c r="O14" i="33"/>
  <c r="H63" i="33" s="1"/>
  <c r="T15" i="33" l="1"/>
  <c r="T16" i="33" s="1"/>
  <c r="T17" i="33" s="1"/>
  <c r="U14" i="33"/>
  <c r="H82" i="33" s="1"/>
  <c r="L4" i="6"/>
  <c r="J13" i="8"/>
  <c r="C94" i="33"/>
  <c r="AG9" i="33" s="1"/>
  <c r="AH9" i="33" s="1"/>
  <c r="B4" i="8" s="1"/>
  <c r="W11" i="33"/>
  <c r="E93" i="33" s="1"/>
  <c r="V12" i="33"/>
  <c r="F10" i="33"/>
  <c r="D48" i="33" s="1"/>
  <c r="E10" i="33"/>
  <c r="D43" i="33" s="1"/>
  <c r="C11" i="33"/>
  <c r="H10" i="33"/>
  <c r="D61" i="33" s="1"/>
  <c r="D52" i="33" s="1"/>
  <c r="D76" i="33" s="1"/>
  <c r="G10" i="33"/>
  <c r="D51" i="33" s="1"/>
  <c r="M18" i="33"/>
  <c r="M19" i="33" s="1"/>
  <c r="O17" i="33"/>
  <c r="K63" i="33" s="1"/>
  <c r="T18" i="33" l="1"/>
  <c r="T19" i="33" s="1"/>
  <c r="U17" i="33"/>
  <c r="K82" i="33" s="1"/>
  <c r="V13" i="33"/>
  <c r="W12" i="33"/>
  <c r="F93" i="33" s="1"/>
  <c r="M20" i="33"/>
  <c r="M21" i="33" s="1"/>
  <c r="O19" i="33"/>
  <c r="M63" i="33" s="1"/>
  <c r="C12" i="33"/>
  <c r="G11" i="33"/>
  <c r="E51" i="33" s="1"/>
  <c r="E11" i="33"/>
  <c r="E43" i="33" s="1"/>
  <c r="H11" i="33"/>
  <c r="E61" i="33" s="1"/>
  <c r="E52" i="33" s="1"/>
  <c r="E76" i="33" s="1"/>
  <c r="F11" i="33"/>
  <c r="E48" i="33" s="1"/>
  <c r="D94" i="33"/>
  <c r="AG10" i="33" s="1"/>
  <c r="AH10" i="33" s="1"/>
  <c r="B5" i="8" s="1"/>
  <c r="B355" i="29"/>
  <c r="B357" i="29" s="1"/>
  <c r="B353" i="29"/>
  <c r="B354" i="29" s="1"/>
  <c r="B356" i="29" s="1"/>
  <c r="B352" i="29"/>
  <c r="B339" i="29"/>
  <c r="B304" i="29"/>
  <c r="B312" i="29" s="1"/>
  <c r="B320" i="29" s="1"/>
  <c r="B328" i="29"/>
  <c r="B347" i="29" s="1"/>
  <c r="B275" i="29"/>
  <c r="B292" i="29" s="1"/>
  <c r="B273" i="29"/>
  <c r="B283" i="29" s="1"/>
  <c r="B335" i="29" s="1"/>
  <c r="B252" i="29"/>
  <c r="B300" i="29" s="1"/>
  <c r="B269" i="29"/>
  <c r="B255" i="29"/>
  <c r="B303" i="29" s="1"/>
  <c r="B261" i="29"/>
  <c r="B268" i="29" s="1"/>
  <c r="B285" i="29" s="1"/>
  <c r="B337" i="29" s="1"/>
  <c r="B254" i="29"/>
  <c r="B302" i="29" s="1"/>
  <c r="B253" i="29"/>
  <c r="B260" i="29" s="1"/>
  <c r="B267" i="29" s="1"/>
  <c r="B274" i="29" s="1"/>
  <c r="B291" i="29" s="1"/>
  <c r="B241" i="29"/>
  <c r="B85" i="29"/>
  <c r="B71" i="29"/>
  <c r="B57" i="29"/>
  <c r="B46" i="29"/>
  <c r="B42" i="29"/>
  <c r="E94" i="33" l="1"/>
  <c r="AG11" i="33" s="1"/>
  <c r="AH11" i="33" s="1"/>
  <c r="B8" i="8" s="1"/>
  <c r="T20" i="33"/>
  <c r="T21" i="33" s="1"/>
  <c r="U19" i="33"/>
  <c r="M82" i="33" s="1"/>
  <c r="V14" i="33"/>
  <c r="W13" i="33"/>
  <c r="G93" i="33" s="1"/>
  <c r="M22" i="33"/>
  <c r="O21" i="33"/>
  <c r="O63" i="33" s="1"/>
  <c r="H12" i="33"/>
  <c r="F61" i="33" s="1"/>
  <c r="F52" i="33" s="1"/>
  <c r="F76" i="33" s="1"/>
  <c r="F12" i="33"/>
  <c r="F48" i="33" s="1"/>
  <c r="C13" i="33"/>
  <c r="E12" i="33"/>
  <c r="F43" i="33" s="1"/>
  <c r="G12" i="33"/>
  <c r="F51" i="33" s="1"/>
  <c r="B326" i="29"/>
  <c r="B345" i="29" s="1"/>
  <c r="B338" i="29"/>
  <c r="B324" i="29"/>
  <c r="B325" i="29"/>
  <c r="B301" i="29"/>
  <c r="B311" i="29"/>
  <c r="B319" i="29" s="1"/>
  <c r="B310" i="29"/>
  <c r="B309" i="29"/>
  <c r="B290" i="29"/>
  <c r="B284" i="29"/>
  <c r="B336" i="29" s="1"/>
  <c r="B256" i="29"/>
  <c r="B259" i="29"/>
  <c r="B308" i="29" s="1"/>
  <c r="B41" i="29"/>
  <c r="B30" i="29"/>
  <c r="B22" i="29"/>
  <c r="B340" i="29" l="1"/>
  <c r="T22" i="33"/>
  <c r="U21" i="33"/>
  <c r="O82" i="33" s="1"/>
  <c r="V15" i="33"/>
  <c r="W14" i="33"/>
  <c r="H93" i="33" s="1"/>
  <c r="H13" i="33"/>
  <c r="G61" i="33" s="1"/>
  <c r="G52" i="33" s="1"/>
  <c r="G76" i="33" s="1"/>
  <c r="G13" i="33"/>
  <c r="G51" i="33" s="1"/>
  <c r="F13" i="33"/>
  <c r="G48" i="33" s="1"/>
  <c r="C14" i="33"/>
  <c r="E13" i="33"/>
  <c r="G43" i="33" s="1"/>
  <c r="M23" i="33"/>
  <c r="M24" i="33" s="1"/>
  <c r="M25" i="33" s="1"/>
  <c r="M26" i="33" s="1"/>
  <c r="M27" i="33" s="1"/>
  <c r="M28" i="33" s="1"/>
  <c r="M29" i="33" s="1"/>
  <c r="O22" i="33"/>
  <c r="P63" i="33" s="1"/>
  <c r="F94" i="33"/>
  <c r="AG12" i="33" s="1"/>
  <c r="AH12" i="33" s="1"/>
  <c r="B9" i="8" s="1"/>
  <c r="B343" i="29"/>
  <c r="B313" i="29"/>
  <c r="B316" i="29"/>
  <c r="B317" i="29"/>
  <c r="B305" i="29"/>
  <c r="B318" i="29"/>
  <c r="B287" i="29"/>
  <c r="B266" i="29"/>
  <c r="B263" i="29"/>
  <c r="B217" i="29"/>
  <c r="B224" i="29" s="1"/>
  <c r="B232" i="29" s="1"/>
  <c r="B216" i="29"/>
  <c r="B223" i="29" s="1"/>
  <c r="B231" i="29" s="1"/>
  <c r="B215" i="29"/>
  <c r="B222" i="29" s="1"/>
  <c r="B230" i="29" s="1"/>
  <c r="B221" i="29"/>
  <c r="B229" i="29" s="1"/>
  <c r="B237" i="29" s="1"/>
  <c r="T23" i="33" l="1"/>
  <c r="T24" i="33" s="1"/>
  <c r="T25" i="33" s="1"/>
  <c r="T26" i="33" s="1"/>
  <c r="T27" i="33" s="1"/>
  <c r="T28" i="33" s="1"/>
  <c r="T29" i="33" s="1"/>
  <c r="U22" i="33"/>
  <c r="P82" i="33" s="1"/>
  <c r="G94" i="33"/>
  <c r="AG13" i="33" s="1"/>
  <c r="AH13" i="33" s="1"/>
  <c r="B10" i="8" s="1"/>
  <c r="B7" i="8"/>
  <c r="B35" i="8"/>
  <c r="V16" i="33"/>
  <c r="W15" i="33"/>
  <c r="I93" i="33" s="1"/>
  <c r="H14" i="33"/>
  <c r="H61" i="33" s="1"/>
  <c r="H52" i="33" s="1"/>
  <c r="H76" i="33" s="1"/>
  <c r="G14" i="33"/>
  <c r="H51" i="33" s="1"/>
  <c r="F14" i="33"/>
  <c r="H48" i="33" s="1"/>
  <c r="C15" i="33"/>
  <c r="E14" i="33"/>
  <c r="H43" i="33" s="1"/>
  <c r="M30" i="33"/>
  <c r="M31" i="33" s="1"/>
  <c r="M32" i="33" s="1"/>
  <c r="M33" i="33" s="1"/>
  <c r="M34" i="33" s="1"/>
  <c r="M35" i="33" s="1"/>
  <c r="M36" i="33" s="1"/>
  <c r="O36" i="33" s="1"/>
  <c r="AD63" i="33" s="1"/>
  <c r="O29" i="33"/>
  <c r="W63" i="33" s="1"/>
  <c r="B321" i="29"/>
  <c r="B344" i="29"/>
  <c r="B367" i="29" s="1"/>
  <c r="B373" i="29" s="1"/>
  <c r="B270" i="29"/>
  <c r="B226" i="29"/>
  <c r="B234" i="29"/>
  <c r="B246" i="29" s="1"/>
  <c r="T30" i="33" l="1"/>
  <c r="T31" i="33" s="1"/>
  <c r="T32" i="33" s="1"/>
  <c r="T33" i="33" s="1"/>
  <c r="T34" i="33" s="1"/>
  <c r="T35" i="33" s="1"/>
  <c r="T36" i="33" s="1"/>
  <c r="U36" i="33" s="1"/>
  <c r="AD82" i="33" s="1"/>
  <c r="U29" i="33"/>
  <c r="W82" i="33" s="1"/>
  <c r="H94" i="33"/>
  <c r="AG14" i="33" s="1"/>
  <c r="AH14" i="33" s="1"/>
  <c r="B11" i="8" s="1"/>
  <c r="E15" i="33"/>
  <c r="I43" i="33" s="1"/>
  <c r="G15" i="33"/>
  <c r="I51" i="33" s="1"/>
  <c r="F15" i="33"/>
  <c r="I48" i="33" s="1"/>
  <c r="C16" i="33"/>
  <c r="H15" i="33"/>
  <c r="I61" i="33" s="1"/>
  <c r="I52" i="33" s="1"/>
  <c r="I76" i="33" s="1"/>
  <c r="V17" i="33"/>
  <c r="W16" i="33"/>
  <c r="J93" i="33" s="1"/>
  <c r="B206" i="29"/>
  <c r="B198" i="29"/>
  <c r="B189" i="29"/>
  <c r="B175" i="29"/>
  <c r="B166" i="29"/>
  <c r="B155" i="29"/>
  <c r="B150" i="29"/>
  <c r="B142" i="29"/>
  <c r="B130" i="29"/>
  <c r="B123" i="29"/>
  <c r="B116" i="29"/>
  <c r="B109" i="29"/>
  <c r="B100" i="29"/>
  <c r="B82" i="29"/>
  <c r="B81" i="29"/>
  <c r="B48" i="29"/>
  <c r="B52" i="29"/>
  <c r="A37" i="29"/>
  <c r="A60" i="29" s="1"/>
  <c r="A89" i="29" s="1"/>
  <c r="A118" i="29" s="1"/>
  <c r="A144" i="29" s="1"/>
  <c r="A169" i="29" s="1"/>
  <c r="B32" i="29"/>
  <c r="B84" i="29" s="1"/>
  <c r="B74" i="29"/>
  <c r="B83" i="29" s="1"/>
  <c r="B23" i="29"/>
  <c r="B179" i="29" s="1"/>
  <c r="B180" i="29" s="1"/>
  <c r="B17" i="29"/>
  <c r="I39" i="8"/>
  <c r="I38" i="8"/>
  <c r="I37" i="8"/>
  <c r="I36" i="8"/>
  <c r="I35" i="8"/>
  <c r="I34" i="8"/>
  <c r="I33" i="8"/>
  <c r="I32" i="8"/>
  <c r="I31" i="8"/>
  <c r="I30" i="8"/>
  <c r="I29" i="8"/>
  <c r="I28" i="8"/>
  <c r="I27" i="8"/>
  <c r="I26" i="8"/>
  <c r="I25" i="8"/>
  <c r="I24" i="8"/>
  <c r="I23" i="8"/>
  <c r="H22" i="8"/>
  <c r="I21" i="8"/>
  <c r="I20" i="8"/>
  <c r="I19" i="8"/>
  <c r="I18" i="8"/>
  <c r="I17" i="8"/>
  <c r="I16" i="8"/>
  <c r="I15" i="8"/>
  <c r="I14" i="8"/>
  <c r="I13" i="8"/>
  <c r="I12" i="8"/>
  <c r="I11" i="8"/>
  <c r="I10" i="8"/>
  <c r="I9" i="8"/>
  <c r="I8" i="8"/>
  <c r="I7" i="8"/>
  <c r="I6" i="8"/>
  <c r="I5" i="8"/>
  <c r="I4" i="8"/>
  <c r="A210" i="29" l="1"/>
  <c r="A248" i="29" s="1"/>
  <c r="A279" i="29" s="1"/>
  <c r="A296" i="29" s="1"/>
  <c r="A331" i="29" s="1"/>
  <c r="A362" i="29" s="1"/>
  <c r="A201" i="29"/>
  <c r="B31" i="29"/>
  <c r="B26" i="29"/>
  <c r="F16" i="33"/>
  <c r="J48" i="33" s="1"/>
  <c r="G16" i="33"/>
  <c r="J51" i="33" s="1"/>
  <c r="E16" i="33"/>
  <c r="J43" i="33" s="1"/>
  <c r="C17" i="33"/>
  <c r="H16" i="33"/>
  <c r="J61" i="33" s="1"/>
  <c r="J52" i="33" s="1"/>
  <c r="J76" i="33" s="1"/>
  <c r="V18" i="33"/>
  <c r="W17" i="33"/>
  <c r="K93" i="33" s="1"/>
  <c r="I94" i="33"/>
  <c r="AG15" i="33" s="1"/>
  <c r="AH15" i="33" s="1"/>
  <c r="H43" i="8"/>
  <c r="J22" i="8"/>
  <c r="J43" i="8" s="1"/>
  <c r="B19" i="29"/>
  <c r="B65" i="29"/>
  <c r="B75" i="29" s="1"/>
  <c r="B56" i="29"/>
  <c r="B58" i="29" s="1"/>
  <c r="B49" i="29"/>
  <c r="B95" i="29"/>
  <c r="B14" i="29"/>
  <c r="B64" i="29"/>
  <c r="B43" i="29"/>
  <c r="I22" i="8"/>
  <c r="I43" i="8" s="1"/>
  <c r="J94" i="33" l="1"/>
  <c r="AG16" i="33" s="1"/>
  <c r="AH16" i="33" s="1"/>
  <c r="B14" i="8" s="1"/>
  <c r="F17" i="33"/>
  <c r="K48" i="33" s="1"/>
  <c r="E17" i="33"/>
  <c r="K43" i="33" s="1"/>
  <c r="C18" i="33"/>
  <c r="H17" i="33"/>
  <c r="K61" i="33" s="1"/>
  <c r="K52" i="33" s="1"/>
  <c r="K76" i="33" s="1"/>
  <c r="G17" i="33"/>
  <c r="K51" i="33" s="1"/>
  <c r="V19" i="33"/>
  <c r="W18" i="33"/>
  <c r="L93" i="33" s="1"/>
  <c r="B242" i="29"/>
  <c r="B243" i="29" s="1"/>
  <c r="B67" i="29"/>
  <c r="B70" i="29"/>
  <c r="A49" i="6"/>
  <c r="O5" i="6"/>
  <c r="O6" i="6" s="1"/>
  <c r="O7" i="6" s="1"/>
  <c r="O8" i="6" s="1"/>
  <c r="O9" i="6" s="1"/>
  <c r="O10" i="6" s="1"/>
  <c r="O11" i="6" s="1"/>
  <c r="O12" i="6" s="1"/>
  <c r="N5" i="6"/>
  <c r="N6" i="6" s="1"/>
  <c r="N7" i="6" s="1"/>
  <c r="N8" i="6" s="1"/>
  <c r="N9" i="6" s="1"/>
  <c r="N10" i="6" s="1"/>
  <c r="N11" i="6" s="1"/>
  <c r="N12" i="6" s="1"/>
  <c r="M5" i="6"/>
  <c r="M6" i="6" s="1"/>
  <c r="M7" i="6" s="1"/>
  <c r="M8" i="6" s="1"/>
  <c r="M9" i="6" s="1"/>
  <c r="M10" i="6" s="1"/>
  <c r="M11" i="6" s="1"/>
  <c r="M12" i="6" s="1"/>
  <c r="J5" i="6"/>
  <c r="F6" i="5"/>
  <c r="F5" i="5"/>
  <c r="Q4" i="5"/>
  <c r="P4" i="5"/>
  <c r="F4" i="5"/>
  <c r="O4" i="5"/>
  <c r="M4" i="5"/>
  <c r="M5" i="5" s="1"/>
  <c r="F3" i="5"/>
  <c r="C3" i="5"/>
  <c r="I150" i="4"/>
  <c r="I151" i="4"/>
  <c r="I152" i="4"/>
  <c r="I153" i="4"/>
  <c r="I154" i="4"/>
  <c r="I155" i="4"/>
  <c r="I156" i="4"/>
  <c r="I149" i="4"/>
  <c r="I131" i="4"/>
  <c r="I132" i="4"/>
  <c r="I133" i="4"/>
  <c r="I134" i="4"/>
  <c r="I135" i="4"/>
  <c r="I136" i="4"/>
  <c r="I137" i="4"/>
  <c r="I138" i="4"/>
  <c r="I139" i="4"/>
  <c r="I140" i="4"/>
  <c r="I141" i="4"/>
  <c r="I143" i="4"/>
  <c r="I144" i="4"/>
  <c r="I145" i="4"/>
  <c r="I130" i="4"/>
  <c r="I96" i="4"/>
  <c r="I97" i="4"/>
  <c r="I98" i="4"/>
  <c r="I99" i="4"/>
  <c r="I100" i="4"/>
  <c r="I101" i="4"/>
  <c r="I103" i="4"/>
  <c r="I106" i="4"/>
  <c r="I107" i="4"/>
  <c r="I108" i="4"/>
  <c r="I109" i="4"/>
  <c r="I110" i="4"/>
  <c r="I114" i="4"/>
  <c r="I115" i="4"/>
  <c r="I116" i="4"/>
  <c r="I95"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51" i="4"/>
  <c r="I32" i="4"/>
  <c r="I33" i="4"/>
  <c r="I34" i="4"/>
  <c r="I35" i="4"/>
  <c r="I36" i="4"/>
  <c r="I37" i="4"/>
  <c r="I38" i="4"/>
  <c r="I39" i="4"/>
  <c r="I40" i="4"/>
  <c r="I5" i="4"/>
  <c r="I6" i="4"/>
  <c r="I7" i="4"/>
  <c r="I8" i="4"/>
  <c r="I9" i="4"/>
  <c r="I10" i="4"/>
  <c r="I11" i="4"/>
  <c r="I12" i="4"/>
  <c r="I16" i="4"/>
  <c r="I17" i="4"/>
  <c r="I18" i="4"/>
  <c r="I19" i="4"/>
  <c r="I20" i="4"/>
  <c r="I21" i="4"/>
  <c r="I24" i="4"/>
  <c r="I26" i="4"/>
  <c r="I27" i="4"/>
  <c r="O4" i="4"/>
  <c r="G4" i="4" s="1"/>
  <c r="G4" i="6" s="1"/>
  <c r="N4" i="4"/>
  <c r="M4" i="4"/>
  <c r="I4" i="4"/>
  <c r="BO171" i="2"/>
  <c r="BL171" i="2"/>
  <c r="BI171" i="2"/>
  <c r="BK171" i="2" s="1"/>
  <c r="BH171" i="2"/>
  <c r="BO170" i="2"/>
  <c r="BL170" i="2"/>
  <c r="BI170" i="2"/>
  <c r="BK170" i="2" s="1"/>
  <c r="BH170" i="2"/>
  <c r="BO169" i="2"/>
  <c r="BL169" i="2"/>
  <c r="BI169" i="2"/>
  <c r="BK169" i="2" s="1"/>
  <c r="BH169" i="2"/>
  <c r="BO168" i="2"/>
  <c r="BL168" i="2"/>
  <c r="BI168" i="2"/>
  <c r="BK168" i="2" s="1"/>
  <c r="BH168" i="2"/>
  <c r="BO167" i="2"/>
  <c r="BL167" i="2"/>
  <c r="BI167" i="2"/>
  <c r="BK167" i="2" s="1"/>
  <c r="BH167" i="2"/>
  <c r="BO166" i="2"/>
  <c r="BL166" i="2"/>
  <c r="BI166" i="2"/>
  <c r="BK166" i="2" s="1"/>
  <c r="BH166" i="2"/>
  <c r="BO165" i="2"/>
  <c r="BL165" i="2"/>
  <c r="BI165" i="2"/>
  <c r="BK165" i="2" s="1"/>
  <c r="BH165" i="2"/>
  <c r="BO164" i="2"/>
  <c r="BL164" i="2"/>
  <c r="BI164" i="2"/>
  <c r="BK164" i="2" s="1"/>
  <c r="BH164" i="2"/>
  <c r="BO163" i="2"/>
  <c r="BL163" i="2"/>
  <c r="BI163" i="2"/>
  <c r="BK163" i="2" s="1"/>
  <c r="BH163" i="2"/>
  <c r="BO162" i="2"/>
  <c r="BL162" i="2"/>
  <c r="BI162" i="2"/>
  <c r="BK162" i="2" s="1"/>
  <c r="BH162" i="2"/>
  <c r="BO161" i="2"/>
  <c r="BL161" i="2"/>
  <c r="BI161" i="2"/>
  <c r="BK161" i="2" s="1"/>
  <c r="BH161" i="2"/>
  <c r="BO160" i="2"/>
  <c r="BL160" i="2"/>
  <c r="BI160" i="2"/>
  <c r="BK160" i="2" s="1"/>
  <c r="BH160" i="2"/>
  <c r="BO159" i="2"/>
  <c r="BL159" i="2"/>
  <c r="BI159" i="2"/>
  <c r="BK159" i="2" s="1"/>
  <c r="BH159" i="2"/>
  <c r="BV158" i="2"/>
  <c r="BV159" i="2" s="1"/>
  <c r="BO158" i="2"/>
  <c r="BL158" i="2"/>
  <c r="BI158" i="2"/>
  <c r="BK158" i="2" s="1"/>
  <c r="BH158" i="2"/>
  <c r="BW157" i="2"/>
  <c r="BO157" i="2"/>
  <c r="BL157" i="2"/>
  <c r="BI157" i="2"/>
  <c r="BK157" i="2" s="1"/>
  <c r="BH157" i="2"/>
  <c r="BK142" i="2"/>
  <c r="BH142" i="2"/>
  <c r="BK141" i="2"/>
  <c r="BH141" i="2"/>
  <c r="BK140" i="2"/>
  <c r="BH140" i="2"/>
  <c r="BK139" i="2"/>
  <c r="E3" i="5" s="1"/>
  <c r="BH139" i="2"/>
  <c r="D3" i="5" s="1"/>
  <c r="BK136" i="2"/>
  <c r="BH136" i="2"/>
  <c r="BK135" i="2"/>
  <c r="BH135" i="2"/>
  <c r="BK134" i="2"/>
  <c r="BH134" i="2"/>
  <c r="BK133" i="2"/>
  <c r="BH133" i="2"/>
  <c r="BK132" i="2"/>
  <c r="BH132" i="2"/>
  <c r="BK131" i="2"/>
  <c r="BH131" i="2"/>
  <c r="BK130" i="2"/>
  <c r="BH130" i="2"/>
  <c r="BK129" i="2"/>
  <c r="BH129" i="2"/>
  <c r="BK125" i="2"/>
  <c r="BH125" i="2"/>
  <c r="BK124" i="2"/>
  <c r="BH124" i="2"/>
  <c r="BK123" i="2"/>
  <c r="BH123" i="2"/>
  <c r="BK122" i="2"/>
  <c r="BH122" i="2"/>
  <c r="BC122" i="2"/>
  <c r="BK121" i="2"/>
  <c r="BH121" i="2"/>
  <c r="BK120" i="2"/>
  <c r="BH120" i="2"/>
  <c r="BK119" i="2"/>
  <c r="BH119" i="2"/>
  <c r="BK118" i="2"/>
  <c r="BH118" i="2"/>
  <c r="BK117" i="2"/>
  <c r="BH117" i="2"/>
  <c r="BK116" i="2"/>
  <c r="BH116" i="2"/>
  <c r="BK115" i="2"/>
  <c r="BH115" i="2"/>
  <c r="BK114" i="2"/>
  <c r="BH114" i="2"/>
  <c r="BK113" i="2"/>
  <c r="BH113" i="2"/>
  <c r="BK112" i="2"/>
  <c r="BH112" i="2"/>
  <c r="BK111" i="2"/>
  <c r="BH111" i="2"/>
  <c r="BK110" i="2"/>
  <c r="BH110" i="2"/>
  <c r="BK107" i="2"/>
  <c r="BH107" i="2"/>
  <c r="BK106" i="2"/>
  <c r="BH106" i="2"/>
  <c r="BK105" i="2"/>
  <c r="BH105" i="2"/>
  <c r="BI101" i="2"/>
  <c r="BK101" i="2" s="1"/>
  <c r="BK100" i="2"/>
  <c r="BH100" i="2"/>
  <c r="BK99" i="2"/>
  <c r="BH99" i="2"/>
  <c r="BK98" i="2"/>
  <c r="BH98" i="2"/>
  <c r="BK97" i="2"/>
  <c r="BH97" i="2"/>
  <c r="BK96" i="2"/>
  <c r="BH96" i="2"/>
  <c r="BK94" i="2"/>
  <c r="BH94" i="2"/>
  <c r="BK92" i="2"/>
  <c r="BH92" i="2"/>
  <c r="BK91" i="2"/>
  <c r="BH91" i="2"/>
  <c r="BK90" i="2"/>
  <c r="BH90" i="2"/>
  <c r="BK89" i="2"/>
  <c r="BH89" i="2"/>
  <c r="BK88" i="2"/>
  <c r="BH88" i="2"/>
  <c r="BK87" i="2"/>
  <c r="BH87" i="2"/>
  <c r="BK86" i="2"/>
  <c r="BH86" i="2"/>
  <c r="BK83" i="2"/>
  <c r="BH83" i="2"/>
  <c r="BK82" i="2"/>
  <c r="BH82" i="2"/>
  <c r="BK81" i="2"/>
  <c r="BH81" i="2"/>
  <c r="BK80" i="2"/>
  <c r="BH80" i="2"/>
  <c r="BK79" i="2"/>
  <c r="BH79" i="2"/>
  <c r="BK78" i="2"/>
  <c r="BH78" i="2"/>
  <c r="BK77" i="2"/>
  <c r="BH77" i="2"/>
  <c r="BK76" i="2"/>
  <c r="BH76" i="2"/>
  <c r="BK75" i="2"/>
  <c r="BH75" i="2"/>
  <c r="BK74" i="2"/>
  <c r="BH74" i="2"/>
  <c r="BK73" i="2"/>
  <c r="BH73" i="2"/>
  <c r="BK72" i="2"/>
  <c r="BH72" i="2"/>
  <c r="BK71" i="2"/>
  <c r="BH71" i="2"/>
  <c r="BK70" i="2"/>
  <c r="BH70" i="2"/>
  <c r="BK69" i="2"/>
  <c r="BH69" i="2"/>
  <c r="BK68" i="2"/>
  <c r="BH68" i="2"/>
  <c r="BK67" i="2"/>
  <c r="BH67" i="2"/>
  <c r="BK66" i="2"/>
  <c r="BH66" i="2"/>
  <c r="BK65" i="2"/>
  <c r="BH65" i="2"/>
  <c r="BK64" i="2"/>
  <c r="BH64" i="2"/>
  <c r="BK63" i="2"/>
  <c r="BH63" i="2"/>
  <c r="BK62" i="2"/>
  <c r="BH62" i="2"/>
  <c r="BK61" i="2"/>
  <c r="BH61" i="2"/>
  <c r="BK60" i="2"/>
  <c r="BH60" i="2"/>
  <c r="BK59" i="2"/>
  <c r="BH59" i="2"/>
  <c r="BK58" i="2"/>
  <c r="BH58" i="2"/>
  <c r="BK57" i="2"/>
  <c r="BH57" i="2"/>
  <c r="BK56" i="2"/>
  <c r="BH56" i="2"/>
  <c r="BK55" i="2"/>
  <c r="BH55" i="2"/>
  <c r="BK54" i="2"/>
  <c r="BH54" i="2"/>
  <c r="BK53" i="2"/>
  <c r="BH53" i="2"/>
  <c r="BK52" i="2"/>
  <c r="BH52" i="2"/>
  <c r="BK51" i="2"/>
  <c r="BH51" i="2"/>
  <c r="BK50" i="2"/>
  <c r="BH50" i="2"/>
  <c r="BK49" i="2"/>
  <c r="BH49" i="2"/>
  <c r="BK48" i="2"/>
  <c r="BH48" i="2"/>
  <c r="BK47" i="2"/>
  <c r="BH47" i="2"/>
  <c r="BK46" i="2"/>
  <c r="BH46" i="2"/>
  <c r="BK45" i="2"/>
  <c r="BH45" i="2"/>
  <c r="BK44" i="2"/>
  <c r="BH44" i="2"/>
  <c r="BK43" i="2"/>
  <c r="BH43" i="2"/>
  <c r="BK42" i="2"/>
  <c r="BH42" i="2"/>
  <c r="BK41" i="2"/>
  <c r="BH41" i="2"/>
  <c r="BK37" i="2"/>
  <c r="BH37" i="2"/>
  <c r="BK36" i="2"/>
  <c r="BH36" i="2"/>
  <c r="BK34" i="2"/>
  <c r="BH34" i="2"/>
  <c r="BK33" i="2"/>
  <c r="BH33" i="2"/>
  <c r="BK31" i="2"/>
  <c r="BH31" i="2"/>
  <c r="BK30" i="2"/>
  <c r="BH30" i="2"/>
  <c r="BK29" i="2"/>
  <c r="BH29" i="2"/>
  <c r="BK28" i="2"/>
  <c r="BH28" i="2"/>
  <c r="BK27" i="2"/>
  <c r="BH27" i="2"/>
  <c r="BK26" i="2"/>
  <c r="BH26" i="2"/>
  <c r="BK24" i="2"/>
  <c r="BH24" i="2"/>
  <c r="BK22" i="2"/>
  <c r="BH22" i="2"/>
  <c r="BK21" i="2"/>
  <c r="BH21" i="2"/>
  <c r="BK20" i="2"/>
  <c r="BH20" i="2"/>
  <c r="BK19" i="2"/>
  <c r="BH19" i="2"/>
  <c r="BK18" i="2"/>
  <c r="BH18" i="2"/>
  <c r="BK17" i="2"/>
  <c r="BH17" i="2"/>
  <c r="BK16" i="2"/>
  <c r="BH16" i="2"/>
  <c r="BK15" i="2"/>
  <c r="BH15" i="2"/>
  <c r="BK14" i="2"/>
  <c r="BH14" i="2"/>
  <c r="J4" i="4"/>
  <c r="B4" i="4" s="1"/>
  <c r="L4" i="4"/>
  <c r="J6" i="6" l="1"/>
  <c r="B5" i="6"/>
  <c r="M14" i="6"/>
  <c r="M16" i="6" s="1"/>
  <c r="M17" i="6" s="1"/>
  <c r="M18" i="6" s="1"/>
  <c r="M19" i="6" s="1"/>
  <c r="M20" i="6" s="1"/>
  <c r="M21" i="6" s="1"/>
  <c r="M22" i="6" s="1"/>
  <c r="M23" i="6" s="1"/>
  <c r="M24" i="6" s="1"/>
  <c r="M13" i="6"/>
  <c r="M15" i="6" s="1"/>
  <c r="N14" i="6"/>
  <c r="N16" i="6" s="1"/>
  <c r="N17" i="6" s="1"/>
  <c r="N18" i="6" s="1"/>
  <c r="N19" i="6" s="1"/>
  <c r="N20" i="6" s="1"/>
  <c r="N21" i="6" s="1"/>
  <c r="N13" i="6"/>
  <c r="N15" i="6" s="1"/>
  <c r="O14" i="6"/>
  <c r="O16" i="6" s="1"/>
  <c r="O17" i="6" s="1"/>
  <c r="O18" i="6" s="1"/>
  <c r="O19" i="6" s="1"/>
  <c r="O20" i="6" s="1"/>
  <c r="O21" i="6" s="1"/>
  <c r="O22" i="6" s="1"/>
  <c r="O23" i="6" s="1"/>
  <c r="O24" i="6" s="1"/>
  <c r="O13" i="6"/>
  <c r="O15" i="6" s="1"/>
  <c r="N22" i="6"/>
  <c r="N23" i="6" s="1"/>
  <c r="N24" i="6" s="1"/>
  <c r="I142" i="4"/>
  <c r="BE122" i="2"/>
  <c r="I144" i="6"/>
  <c r="D4" i="5"/>
  <c r="W19" i="33"/>
  <c r="M93" i="33" s="1"/>
  <c r="V20" i="33"/>
  <c r="F18" i="33"/>
  <c r="L48" i="33" s="1"/>
  <c r="C19" i="33"/>
  <c r="H18" i="33"/>
  <c r="L61" i="33" s="1"/>
  <c r="L52" i="33" s="1"/>
  <c r="L76" i="33" s="1"/>
  <c r="G18" i="33"/>
  <c r="L51" i="33" s="1"/>
  <c r="E18" i="33"/>
  <c r="L43" i="33" s="1"/>
  <c r="K94" i="33"/>
  <c r="AG17" i="33" s="1"/>
  <c r="AH17" i="33" s="1"/>
  <c r="B15" i="8" s="1"/>
  <c r="P5" i="5"/>
  <c r="P6" i="5"/>
  <c r="D6" i="5" s="1"/>
  <c r="D5" i="5"/>
  <c r="Q5" i="5"/>
  <c r="E4" i="5"/>
  <c r="E4" i="4"/>
  <c r="E4" i="6" s="1"/>
  <c r="D4" i="4"/>
  <c r="D4" i="6" s="1"/>
  <c r="B79" i="29"/>
  <c r="B76" i="29"/>
  <c r="B3" i="5"/>
  <c r="K3" i="5" s="1"/>
  <c r="B4" i="5"/>
  <c r="C4" i="6"/>
  <c r="L5" i="6"/>
  <c r="O5" i="5"/>
  <c r="C4" i="5"/>
  <c r="M6" i="5"/>
  <c r="B6" i="5" s="1"/>
  <c r="B5" i="5"/>
  <c r="BW159" i="2"/>
  <c r="BV160" i="2"/>
  <c r="BW158" i="2"/>
  <c r="J7" i="6" l="1"/>
  <c r="B6" i="6"/>
  <c r="O26" i="6"/>
  <c r="O27" i="6" s="1"/>
  <c r="O25" i="6"/>
  <c r="N26" i="6"/>
  <c r="N27" i="6" s="1"/>
  <c r="N25" i="6"/>
  <c r="M26" i="6"/>
  <c r="M27" i="6" s="1"/>
  <c r="M25" i="6"/>
  <c r="L94" i="33"/>
  <c r="AG18" i="33" s="1"/>
  <c r="AH18" i="33" s="1"/>
  <c r="B16" i="8" s="1"/>
  <c r="W20" i="33"/>
  <c r="N93" i="33" s="1"/>
  <c r="V21" i="33"/>
  <c r="F19" i="33"/>
  <c r="M48" i="33" s="1"/>
  <c r="H19" i="33"/>
  <c r="M61" i="33" s="1"/>
  <c r="M52" i="33" s="1"/>
  <c r="M76" i="33" s="1"/>
  <c r="G19" i="33"/>
  <c r="M51" i="33" s="1"/>
  <c r="E19" i="33"/>
  <c r="M43" i="33" s="1"/>
  <c r="C20" i="33"/>
  <c r="Q6" i="5"/>
  <c r="E6" i="5" s="1"/>
  <c r="E5" i="5"/>
  <c r="B86" i="29"/>
  <c r="F4" i="6"/>
  <c r="K4" i="5"/>
  <c r="C5" i="6"/>
  <c r="L6" i="6"/>
  <c r="O6" i="5"/>
  <c r="C6" i="5" s="1"/>
  <c r="C5" i="5"/>
  <c r="BW160" i="2"/>
  <c r="BV161" i="2"/>
  <c r="B7" i="6" l="1"/>
  <c r="J8" i="6"/>
  <c r="M28" i="6"/>
  <c r="M29" i="6" s="1"/>
  <c r="M30" i="6" s="1"/>
  <c r="M31" i="6" s="1"/>
  <c r="M32" i="6" s="1"/>
  <c r="M33" i="6" s="1"/>
  <c r="M34" i="6" s="1"/>
  <c r="M35" i="6" s="1"/>
  <c r="M36" i="6" s="1"/>
  <c r="M37" i="6" s="1"/>
  <c r="M38" i="6" s="1"/>
  <c r="M39" i="6" s="1"/>
  <c r="M40" i="6" s="1"/>
  <c r="M51" i="6" s="1"/>
  <c r="M52" i="6" s="1"/>
  <c r="M53" i="6" s="1"/>
  <c r="M54" i="6" s="1"/>
  <c r="M55" i="6" s="1"/>
  <c r="M56" i="6" s="1"/>
  <c r="M57" i="6" s="1"/>
  <c r="M58" i="6" s="1"/>
  <c r="M59" i="6" s="1"/>
  <c r="M60" i="6" s="1"/>
  <c r="M61" i="6" s="1"/>
  <c r="M62" i="6" s="1"/>
  <c r="M63" i="6" s="1"/>
  <c r="M64" i="6" s="1"/>
  <c r="M65" i="6" s="1"/>
  <c r="M66" i="6" s="1"/>
  <c r="M67" i="6" s="1"/>
  <c r="M68" i="6" s="1"/>
  <c r="M69" i="6" s="1"/>
  <c r="M70" i="6" s="1"/>
  <c r="M71" i="6" s="1"/>
  <c r="M72" i="6" s="1"/>
  <c r="M73" i="6" s="1"/>
  <c r="M74" i="6" s="1"/>
  <c r="M75" i="6" s="1"/>
  <c r="M76" i="6" s="1"/>
  <c r="M77" i="6" s="1"/>
  <c r="M78" i="6" s="1"/>
  <c r="M79" i="6" s="1"/>
  <c r="M80" i="6" s="1"/>
  <c r="M81" i="6" s="1"/>
  <c r="M95" i="6" s="1"/>
  <c r="M96" i="6" s="1"/>
  <c r="M97" i="6" s="1"/>
  <c r="M98" i="6" s="1"/>
  <c r="M99" i="6" s="1"/>
  <c r="M101" i="6" s="1"/>
  <c r="O28" i="6"/>
  <c r="O29" i="6" s="1"/>
  <c r="O30" i="6" s="1"/>
  <c r="O31" i="6" s="1"/>
  <c r="O32" i="6" s="1"/>
  <c r="O33" i="6" s="1"/>
  <c r="O34" i="6" s="1"/>
  <c r="O35" i="6" s="1"/>
  <c r="O36" i="6" s="1"/>
  <c r="O37" i="6" s="1"/>
  <c r="O38" i="6" s="1"/>
  <c r="O39" i="6" s="1"/>
  <c r="O40" i="6" s="1"/>
  <c r="O51" i="6" s="1"/>
  <c r="O52" i="6" s="1"/>
  <c r="O53" i="6" s="1"/>
  <c r="O54" i="6" s="1"/>
  <c r="O55" i="6" s="1"/>
  <c r="O56" i="6" s="1"/>
  <c r="O57" i="6" s="1"/>
  <c r="O58" i="6" s="1"/>
  <c r="O59" i="6" s="1"/>
  <c r="O60" i="6" s="1"/>
  <c r="O61" i="6" s="1"/>
  <c r="O62" i="6" s="1"/>
  <c r="O63" i="6" s="1"/>
  <c r="O64" i="6" s="1"/>
  <c r="O65" i="6" s="1"/>
  <c r="O66" i="6" s="1"/>
  <c r="O67" i="6" s="1"/>
  <c r="O68" i="6" s="1"/>
  <c r="O69" i="6" s="1"/>
  <c r="O70" i="6" s="1"/>
  <c r="O71" i="6" s="1"/>
  <c r="O72" i="6" s="1"/>
  <c r="O73" i="6" s="1"/>
  <c r="O74" i="6" s="1"/>
  <c r="O75" i="6" s="1"/>
  <c r="O76" i="6" s="1"/>
  <c r="O77" i="6" s="1"/>
  <c r="O78" i="6" s="1"/>
  <c r="O79" i="6" s="1"/>
  <c r="O80" i="6" s="1"/>
  <c r="O81" i="6" s="1"/>
  <c r="N28" i="6"/>
  <c r="N29" i="6" s="1"/>
  <c r="N30" i="6" s="1"/>
  <c r="N31" i="6" s="1"/>
  <c r="N32" i="6" s="1"/>
  <c r="N33" i="6" s="1"/>
  <c r="N34" i="6" s="1"/>
  <c r="N35" i="6" s="1"/>
  <c r="N36" i="6" s="1"/>
  <c r="N37" i="6" s="1"/>
  <c r="N38" i="6" s="1"/>
  <c r="N39" i="6" s="1"/>
  <c r="N40" i="6" s="1"/>
  <c r="N51" i="6" s="1"/>
  <c r="N52" i="6" s="1"/>
  <c r="N53" i="6" s="1"/>
  <c r="N54" i="6" s="1"/>
  <c r="N55" i="6" s="1"/>
  <c r="N56" i="6" s="1"/>
  <c r="N57" i="6" s="1"/>
  <c r="N58" i="6" s="1"/>
  <c r="N59" i="6" s="1"/>
  <c r="N60" i="6" s="1"/>
  <c r="N61" i="6" s="1"/>
  <c r="N62" i="6" s="1"/>
  <c r="N63" i="6" s="1"/>
  <c r="N64" i="6" s="1"/>
  <c r="N65" i="6" s="1"/>
  <c r="N66" i="6" s="1"/>
  <c r="N67" i="6" s="1"/>
  <c r="N68" i="6" s="1"/>
  <c r="N69" i="6" s="1"/>
  <c r="N70" i="6" s="1"/>
  <c r="N71" i="6" s="1"/>
  <c r="N72" i="6" s="1"/>
  <c r="N73" i="6" s="1"/>
  <c r="N74" i="6" s="1"/>
  <c r="N75" i="6" s="1"/>
  <c r="N76" i="6" s="1"/>
  <c r="N77" i="6" s="1"/>
  <c r="N78" i="6" s="1"/>
  <c r="N79" i="6" s="1"/>
  <c r="N80" i="6" s="1"/>
  <c r="N81" i="6" s="1"/>
  <c r="N82" i="6" s="1"/>
  <c r="K6" i="5"/>
  <c r="C21" i="33"/>
  <c r="G20" i="33"/>
  <c r="N51" i="33" s="1"/>
  <c r="H20" i="33"/>
  <c r="N61" i="33" s="1"/>
  <c r="N52" i="33" s="1"/>
  <c r="N76" i="33" s="1"/>
  <c r="F20" i="33"/>
  <c r="N48" i="33" s="1"/>
  <c r="E20" i="33"/>
  <c r="N43" i="33" s="1"/>
  <c r="M94" i="33"/>
  <c r="AG19" i="33" s="1"/>
  <c r="AH19" i="33" s="1"/>
  <c r="B18" i="8" s="1"/>
  <c r="B6" i="8" s="1"/>
  <c r="V22" i="33"/>
  <c r="W21" i="33"/>
  <c r="O93" i="33" s="1"/>
  <c r="K5" i="5"/>
  <c r="B218" i="29"/>
  <c r="C6" i="6"/>
  <c r="L7" i="6"/>
  <c r="BV162" i="2"/>
  <c r="BW161" i="2"/>
  <c r="J9" i="6" l="1"/>
  <c r="B8" i="6"/>
  <c r="M100" i="6"/>
  <c r="M103" i="6" s="1"/>
  <c r="M104" i="6"/>
  <c r="N95" i="6"/>
  <c r="N96" i="6" s="1"/>
  <c r="N97" i="6" s="1"/>
  <c r="N98" i="6" s="1"/>
  <c r="N99" i="6" s="1"/>
  <c r="N101" i="6" s="1"/>
  <c r="O95" i="6"/>
  <c r="O96" i="6" s="1"/>
  <c r="O97" i="6" s="1"/>
  <c r="O98" i="6" s="1"/>
  <c r="O99" i="6" s="1"/>
  <c r="O101" i="6" s="1"/>
  <c r="O83" i="6"/>
  <c r="O82" i="6"/>
  <c r="M82" i="6"/>
  <c r="N83" i="6"/>
  <c r="M83" i="6"/>
  <c r="W22" i="33"/>
  <c r="P93" i="33" s="1"/>
  <c r="V23" i="33"/>
  <c r="N94" i="33"/>
  <c r="AG20" i="33" s="1"/>
  <c r="AH20" i="33" s="1"/>
  <c r="B19" i="8" s="1"/>
  <c r="H21" i="33"/>
  <c r="O61" i="33" s="1"/>
  <c r="O52" i="33" s="1"/>
  <c r="O76" i="33" s="1"/>
  <c r="G21" i="33"/>
  <c r="O51" i="33" s="1"/>
  <c r="F21" i="33"/>
  <c r="O48" i="33" s="1"/>
  <c r="E21" i="33"/>
  <c r="O43" i="33" s="1"/>
  <c r="C22" i="33"/>
  <c r="C7" i="6"/>
  <c r="L8" i="6"/>
  <c r="BV163" i="2"/>
  <c r="BW162" i="2"/>
  <c r="B9" i="6" l="1"/>
  <c r="J10" i="6"/>
  <c r="M102" i="6"/>
  <c r="M105" i="6" s="1"/>
  <c r="M106" i="6" s="1"/>
  <c r="M107" i="6" s="1"/>
  <c r="M108" i="6" s="1"/>
  <c r="M109" i="6" s="1"/>
  <c r="M110" i="6" s="1"/>
  <c r="M111" i="6" s="1"/>
  <c r="M112" i="6" s="1"/>
  <c r="M113" i="6" s="1"/>
  <c r="M114" i="6" s="1"/>
  <c r="M115" i="6" s="1"/>
  <c r="M116" i="6" s="1"/>
  <c r="M132" i="6" s="1"/>
  <c r="M133" i="6" s="1"/>
  <c r="M134" i="6" s="1"/>
  <c r="M135" i="6" s="1"/>
  <c r="M136" i="6" s="1"/>
  <c r="M137" i="6" s="1"/>
  <c r="M138" i="6" s="1"/>
  <c r="M139" i="6" s="1"/>
  <c r="M140" i="6" s="1"/>
  <c r="M141" i="6" s="1"/>
  <c r="M142" i="6" s="1"/>
  <c r="M143" i="6" s="1"/>
  <c r="M144" i="6" s="1"/>
  <c r="M145" i="6" s="1"/>
  <c r="M146" i="6" s="1"/>
  <c r="M147" i="6" s="1"/>
  <c r="M151" i="6" s="1"/>
  <c r="M152" i="6" s="1"/>
  <c r="M153" i="6" s="1"/>
  <c r="M154" i="6" s="1"/>
  <c r="M155" i="6" s="1"/>
  <c r="M156" i="6" s="1"/>
  <c r="M157" i="6" s="1"/>
  <c r="M158" i="6" s="1"/>
  <c r="O100" i="6"/>
  <c r="O103" i="6" s="1"/>
  <c r="O104" i="6"/>
  <c r="N100" i="6"/>
  <c r="N104" i="6"/>
  <c r="O102" i="6"/>
  <c r="O105" i="6" s="1"/>
  <c r="O94" i="33"/>
  <c r="AG21" i="33" s="1"/>
  <c r="AH21" i="33" s="1"/>
  <c r="B20" i="8" s="1"/>
  <c r="V24" i="33"/>
  <c r="W23" i="33"/>
  <c r="Q93" i="33" s="1"/>
  <c r="C23" i="33"/>
  <c r="H22" i="33"/>
  <c r="P61" i="33" s="1"/>
  <c r="P52" i="33" s="1"/>
  <c r="P76" i="33" s="1"/>
  <c r="G22" i="33"/>
  <c r="P51" i="33" s="1"/>
  <c r="F22" i="33"/>
  <c r="P48" i="33" s="1"/>
  <c r="E22" i="33"/>
  <c r="P43" i="33" s="1"/>
  <c r="C8" i="6"/>
  <c r="L9" i="6"/>
  <c r="BW163" i="2"/>
  <c r="BV164" i="2"/>
  <c r="B10" i="6" l="1"/>
  <c r="J11" i="6"/>
  <c r="O106" i="6"/>
  <c r="O107" i="6" s="1"/>
  <c r="O108" i="6" s="1"/>
  <c r="O109" i="6" s="1"/>
  <c r="O110" i="6" s="1"/>
  <c r="O111" i="6" s="1"/>
  <c r="O112" i="6" s="1"/>
  <c r="O113" i="6" s="1"/>
  <c r="O114" i="6" s="1"/>
  <c r="O115" i="6" s="1"/>
  <c r="O116" i="6" s="1"/>
  <c r="O132" i="6" s="1"/>
  <c r="O133" i="6" s="1"/>
  <c r="O134" i="6" s="1"/>
  <c r="O135" i="6" s="1"/>
  <c r="O136" i="6" s="1"/>
  <c r="O137" i="6" s="1"/>
  <c r="O138" i="6" s="1"/>
  <c r="O139" i="6" s="1"/>
  <c r="O140" i="6" s="1"/>
  <c r="O141" i="6" s="1"/>
  <c r="O142" i="6" s="1"/>
  <c r="O143" i="6" s="1"/>
  <c r="O144" i="6" s="1"/>
  <c r="O145" i="6" s="1"/>
  <c r="O146" i="6" s="1"/>
  <c r="O147" i="6" s="1"/>
  <c r="O151" i="6" s="1"/>
  <c r="O152" i="6" s="1"/>
  <c r="O153" i="6" s="1"/>
  <c r="O154" i="6" s="1"/>
  <c r="O155" i="6" s="1"/>
  <c r="O156" i="6" s="1"/>
  <c r="O157" i="6" s="1"/>
  <c r="O158" i="6" s="1"/>
  <c r="N102" i="6"/>
  <c r="N105" i="6" s="1"/>
  <c r="N103" i="6"/>
  <c r="P94" i="33"/>
  <c r="AG22" i="33" s="1"/>
  <c r="AH22" i="33" s="1"/>
  <c r="B21" i="8" s="1"/>
  <c r="H23" i="33"/>
  <c r="Q61" i="33" s="1"/>
  <c r="Q52" i="33" s="1"/>
  <c r="Q76" i="33" s="1"/>
  <c r="G23" i="33"/>
  <c r="Q51" i="33" s="1"/>
  <c r="F23" i="33"/>
  <c r="Q48" i="33" s="1"/>
  <c r="C24" i="33"/>
  <c r="E23" i="33"/>
  <c r="Q43" i="33" s="1"/>
  <c r="V25" i="33"/>
  <c r="W24" i="33"/>
  <c r="R93" i="33" s="1"/>
  <c r="C9" i="6"/>
  <c r="L10" i="6"/>
  <c r="BW164" i="2"/>
  <c r="BV165" i="2"/>
  <c r="B11" i="6" l="1"/>
  <c r="J12" i="6"/>
  <c r="N106" i="6"/>
  <c r="N107" i="6" s="1"/>
  <c r="N108" i="6" s="1"/>
  <c r="N109" i="6" s="1"/>
  <c r="N110" i="6" s="1"/>
  <c r="N111" i="6" s="1"/>
  <c r="N112" i="6" s="1"/>
  <c r="N113" i="6" s="1"/>
  <c r="N114" i="6" s="1"/>
  <c r="N115" i="6" s="1"/>
  <c r="N116" i="6" s="1"/>
  <c r="N132" i="6" s="1"/>
  <c r="N133" i="6" s="1"/>
  <c r="N134" i="6" s="1"/>
  <c r="N135" i="6" s="1"/>
  <c r="N136" i="6" s="1"/>
  <c r="N137" i="6" s="1"/>
  <c r="N138" i="6" s="1"/>
  <c r="N139" i="6" s="1"/>
  <c r="N140" i="6" s="1"/>
  <c r="N141" i="6" s="1"/>
  <c r="N142" i="6" s="1"/>
  <c r="N143" i="6" s="1"/>
  <c r="N144" i="6" s="1"/>
  <c r="N145" i="6" s="1"/>
  <c r="N146" i="6" s="1"/>
  <c r="N147" i="6" s="1"/>
  <c r="N151" i="6" s="1"/>
  <c r="N152" i="6" s="1"/>
  <c r="N153" i="6" s="1"/>
  <c r="N154" i="6" s="1"/>
  <c r="N155" i="6" s="1"/>
  <c r="N156" i="6" s="1"/>
  <c r="N157" i="6" s="1"/>
  <c r="N158" i="6" s="1"/>
  <c r="E24" i="33"/>
  <c r="R43" i="33" s="1"/>
  <c r="G24" i="33"/>
  <c r="R51" i="33" s="1"/>
  <c r="F24" i="33"/>
  <c r="R48" i="33" s="1"/>
  <c r="C25" i="33"/>
  <c r="H24" i="33"/>
  <c r="R61" i="33" s="1"/>
  <c r="R52" i="33" s="1"/>
  <c r="R76" i="33" s="1"/>
  <c r="W25" i="33"/>
  <c r="S93" i="33" s="1"/>
  <c r="V26" i="33"/>
  <c r="Q94" i="33"/>
  <c r="AG23" i="33" s="1"/>
  <c r="AH23" i="33" s="1"/>
  <c r="B24" i="8" s="1"/>
  <c r="C10" i="6"/>
  <c r="L11" i="6"/>
  <c r="BV166" i="2"/>
  <c r="BW165" i="2"/>
  <c r="J13" i="6" l="1"/>
  <c r="B12" i="6"/>
  <c r="J14" i="6"/>
  <c r="W26" i="33"/>
  <c r="T93" i="33" s="1"/>
  <c r="V27" i="33"/>
  <c r="F25" i="33"/>
  <c r="S48" i="33" s="1"/>
  <c r="G25" i="33"/>
  <c r="S51" i="33" s="1"/>
  <c r="E25" i="33"/>
  <c r="S43" i="33" s="1"/>
  <c r="C26" i="33"/>
  <c r="H25" i="33"/>
  <c r="S61" i="33" s="1"/>
  <c r="S52" i="33" s="1"/>
  <c r="S76" i="33" s="1"/>
  <c r="R94" i="33"/>
  <c r="AG24" i="33" s="1"/>
  <c r="AH24" i="33" s="1"/>
  <c r="B25" i="8" s="1"/>
  <c r="C11" i="6"/>
  <c r="L12" i="6"/>
  <c r="L13" i="6" s="1"/>
  <c r="BV167" i="2"/>
  <c r="BW166" i="2"/>
  <c r="B14" i="6" l="1"/>
  <c r="J16" i="6"/>
  <c r="B13" i="6"/>
  <c r="J15" i="6"/>
  <c r="B15" i="6" s="1"/>
  <c r="C13" i="6"/>
  <c r="L15" i="6"/>
  <c r="C15" i="6" s="1"/>
  <c r="C27" i="33"/>
  <c r="G26" i="33"/>
  <c r="T51" i="33" s="1"/>
  <c r="F26" i="33"/>
  <c r="T48" i="33" s="1"/>
  <c r="E26" i="33"/>
  <c r="T43" i="33" s="1"/>
  <c r="H26" i="33"/>
  <c r="T61" i="33" s="1"/>
  <c r="T52" i="33" s="1"/>
  <c r="T76" i="33" s="1"/>
  <c r="V28" i="33"/>
  <c r="W27" i="33"/>
  <c r="U93" i="33" s="1"/>
  <c r="S94" i="33"/>
  <c r="AG25" i="33" s="1"/>
  <c r="AH25" i="33" s="1"/>
  <c r="B26" i="8" s="1"/>
  <c r="C12" i="6"/>
  <c r="L14" i="6"/>
  <c r="BW167" i="2"/>
  <c r="BV168" i="2"/>
  <c r="B16" i="6" l="1"/>
  <c r="J17" i="6"/>
  <c r="T94" i="33"/>
  <c r="AG26" i="33" s="1"/>
  <c r="AH26" i="33" s="1"/>
  <c r="B27" i="8" s="1"/>
  <c r="V29" i="33"/>
  <c r="W28" i="33"/>
  <c r="V93" i="33" s="1"/>
  <c r="H27" i="33"/>
  <c r="U61" i="33" s="1"/>
  <c r="U52" i="33" s="1"/>
  <c r="U76" i="33" s="1"/>
  <c r="G27" i="33"/>
  <c r="U51" i="33" s="1"/>
  <c r="F27" i="33"/>
  <c r="U48" i="33" s="1"/>
  <c r="C28" i="33"/>
  <c r="E27" i="33"/>
  <c r="U43" i="33" s="1"/>
  <c r="C14" i="6"/>
  <c r="L16" i="6"/>
  <c r="BW168" i="2"/>
  <c r="BV169" i="2"/>
  <c r="B17" i="6" l="1"/>
  <c r="J18" i="6"/>
  <c r="U94" i="33"/>
  <c r="AG27" i="33" s="1"/>
  <c r="AH27" i="33" s="1"/>
  <c r="B28" i="8" s="1"/>
  <c r="E28" i="33"/>
  <c r="V43" i="33" s="1"/>
  <c r="G28" i="33"/>
  <c r="V51" i="33" s="1"/>
  <c r="F28" i="33"/>
  <c r="V48" i="33" s="1"/>
  <c r="C29" i="33"/>
  <c r="H28" i="33"/>
  <c r="V61" i="33" s="1"/>
  <c r="V52" i="33" s="1"/>
  <c r="V76" i="33" s="1"/>
  <c r="W29" i="33"/>
  <c r="W93" i="33" s="1"/>
  <c r="V30" i="33"/>
  <c r="C16" i="6"/>
  <c r="L17" i="6"/>
  <c r="BV170" i="2"/>
  <c r="BW169" i="2"/>
  <c r="B18" i="6" l="1"/>
  <c r="J19" i="6"/>
  <c r="V94" i="33"/>
  <c r="AG28" i="33" s="1"/>
  <c r="AH28" i="33" s="1"/>
  <c r="B29" i="8" s="1"/>
  <c r="W30" i="33"/>
  <c r="X93" i="33" s="1"/>
  <c r="V31" i="33"/>
  <c r="F29" i="33"/>
  <c r="W48" i="33" s="1"/>
  <c r="G29" i="33"/>
  <c r="W51" i="33" s="1"/>
  <c r="E29" i="33"/>
  <c r="W43" i="33" s="1"/>
  <c r="C30" i="33"/>
  <c r="H29" i="33"/>
  <c r="W61" i="33" s="1"/>
  <c r="W52" i="33" s="1"/>
  <c r="W76" i="33" s="1"/>
  <c r="C17" i="6"/>
  <c r="L18" i="6"/>
  <c r="BV171" i="2"/>
  <c r="BW171" i="2" s="1"/>
  <c r="BW170" i="2"/>
  <c r="B19" i="6" l="1"/>
  <c r="J20" i="6"/>
  <c r="W94" i="33"/>
  <c r="AG29" i="33" s="1"/>
  <c r="AH29" i="33" s="1"/>
  <c r="B30" i="8" s="1"/>
  <c r="C31" i="33"/>
  <c r="G30" i="33"/>
  <c r="X51" i="33" s="1"/>
  <c r="F30" i="33"/>
  <c r="X48" i="33" s="1"/>
  <c r="E30" i="33"/>
  <c r="X43" i="33" s="1"/>
  <c r="H30" i="33"/>
  <c r="X61" i="33" s="1"/>
  <c r="X52" i="33" s="1"/>
  <c r="X76" i="33" s="1"/>
  <c r="V32" i="33"/>
  <c r="W31" i="33"/>
  <c r="Y93" i="33" s="1"/>
  <c r="C18" i="6"/>
  <c r="L19" i="6"/>
  <c r="B20" i="6" l="1"/>
  <c r="J21" i="6"/>
  <c r="H31" i="33"/>
  <c r="Y61" i="33" s="1"/>
  <c r="Y52" i="33" s="1"/>
  <c r="Y76" i="33" s="1"/>
  <c r="G31" i="33"/>
  <c r="Y51" i="33" s="1"/>
  <c r="F31" i="33"/>
  <c r="Y48" i="33" s="1"/>
  <c r="C32" i="33"/>
  <c r="E31" i="33"/>
  <c r="Y43" i="33" s="1"/>
  <c r="X94" i="33"/>
  <c r="AG30" i="33" s="1"/>
  <c r="AH30" i="33" s="1"/>
  <c r="B33" i="8" s="1"/>
  <c r="V33" i="33"/>
  <c r="W32" i="33"/>
  <c r="Z93" i="33" s="1"/>
  <c r="C19" i="6"/>
  <c r="L20" i="6"/>
  <c r="J22" i="6" l="1"/>
  <c r="B21" i="6"/>
  <c r="H32" i="33"/>
  <c r="Z61" i="33" s="1"/>
  <c r="Z52" i="33" s="1"/>
  <c r="Z76" i="33" s="1"/>
  <c r="C33" i="33"/>
  <c r="E32" i="33"/>
  <c r="Z43" i="33" s="1"/>
  <c r="G32" i="33"/>
  <c r="Z51" i="33" s="1"/>
  <c r="F32" i="33"/>
  <c r="Z48" i="33" s="1"/>
  <c r="V34" i="33"/>
  <c r="W33" i="33"/>
  <c r="AA93" i="33" s="1"/>
  <c r="Y94" i="33"/>
  <c r="AG31" i="33" s="1"/>
  <c r="AH31" i="33" s="1"/>
  <c r="B32" i="8" s="1"/>
  <c r="C20" i="6"/>
  <c r="L21" i="6"/>
  <c r="L22" i="6" s="1"/>
  <c r="B22" i="6" l="1"/>
  <c r="B140" i="7" s="1"/>
  <c r="J23" i="6"/>
  <c r="C22" i="6"/>
  <c r="L23" i="6"/>
  <c r="V35" i="33"/>
  <c r="W34" i="33"/>
  <c r="AB93" i="33" s="1"/>
  <c r="Z94" i="33"/>
  <c r="AG32" i="33" s="1"/>
  <c r="AH32" i="33" s="1"/>
  <c r="B34" i="8" s="1"/>
  <c r="E33" i="33"/>
  <c r="AA43" i="33" s="1"/>
  <c r="C34" i="33"/>
  <c r="H33" i="33"/>
  <c r="AA61" i="33" s="1"/>
  <c r="AA52" i="33" s="1"/>
  <c r="AA76" i="33" s="1"/>
  <c r="G33" i="33"/>
  <c r="AA51" i="33" s="1"/>
  <c r="F33" i="33"/>
  <c r="AA48" i="33" s="1"/>
  <c r="C21" i="6"/>
  <c r="B23" i="6" l="1"/>
  <c r="J24" i="6"/>
  <c r="E34" i="33"/>
  <c r="AB43" i="33" s="1"/>
  <c r="H34" i="33"/>
  <c r="AB61" i="33" s="1"/>
  <c r="AB52" i="33" s="1"/>
  <c r="AB76" i="33" s="1"/>
  <c r="G34" i="33"/>
  <c r="AB51" i="33" s="1"/>
  <c r="F34" i="33"/>
  <c r="AB48" i="33" s="1"/>
  <c r="C35" i="33"/>
  <c r="V36" i="33"/>
  <c r="W35" i="33"/>
  <c r="AC93" i="33" s="1"/>
  <c r="AA94" i="33"/>
  <c r="AG33" i="33" s="1"/>
  <c r="AH33" i="33" s="1"/>
  <c r="B36" i="8" s="1"/>
  <c r="C23" i="6"/>
  <c r="L24" i="6"/>
  <c r="L25" i="6" s="1"/>
  <c r="C25" i="6" s="1"/>
  <c r="J25" i="6" l="1"/>
  <c r="B24" i="6"/>
  <c r="J26" i="6"/>
  <c r="W36" i="33"/>
  <c r="AD93" i="33" s="1"/>
  <c r="F35" i="33"/>
  <c r="AC48" i="33" s="1"/>
  <c r="H35" i="33"/>
  <c r="AC61" i="33" s="1"/>
  <c r="AC52" i="33" s="1"/>
  <c r="AC76" i="33" s="1"/>
  <c r="G35" i="33"/>
  <c r="AC51" i="33" s="1"/>
  <c r="E35" i="33"/>
  <c r="AC43" i="33" s="1"/>
  <c r="C36" i="33"/>
  <c r="AB94" i="33"/>
  <c r="AG34" i="33" s="1"/>
  <c r="AH34" i="33" s="1"/>
  <c r="B37" i="8" s="1"/>
  <c r="C24" i="6"/>
  <c r="L26" i="6"/>
  <c r="B26" i="6" l="1"/>
  <c r="J27" i="6"/>
  <c r="B25" i="6"/>
  <c r="B143" i="7" s="1"/>
  <c r="F36" i="33"/>
  <c r="AD48" i="33" s="1"/>
  <c r="E36" i="33"/>
  <c r="AD43" i="33" s="1"/>
  <c r="H36" i="33"/>
  <c r="AD61" i="33" s="1"/>
  <c r="AD52" i="33" s="1"/>
  <c r="AD76" i="33" s="1"/>
  <c r="AC94" i="33"/>
  <c r="AG35" i="33" s="1"/>
  <c r="AH35" i="33" s="1"/>
  <c r="B38" i="8" s="1"/>
  <c r="B23" i="8" s="1"/>
  <c r="C26" i="6"/>
  <c r="L27" i="6"/>
  <c r="L28" i="6" s="1"/>
  <c r="J28" i="6" l="1"/>
  <c r="B27" i="6"/>
  <c r="C28" i="6"/>
  <c r="L29" i="6"/>
  <c r="AD94" i="33"/>
  <c r="AG36" i="33" s="1"/>
  <c r="AH36" i="33" s="1"/>
  <c r="B39" i="8" s="1"/>
  <c r="B43" i="8" s="1"/>
  <c r="C27" i="6"/>
  <c r="B28" i="6" l="1"/>
  <c r="B146" i="7" s="1"/>
  <c r="J29" i="6"/>
  <c r="L30" i="6"/>
  <c r="C29" i="6"/>
  <c r="B29" i="6" l="1"/>
  <c r="B147" i="7" s="1"/>
  <c r="J30" i="6"/>
  <c r="L31" i="6"/>
  <c r="C30" i="6"/>
  <c r="B30" i="6" l="1"/>
  <c r="B148" i="7" s="1"/>
  <c r="J31" i="6"/>
  <c r="C31" i="6"/>
  <c r="L32" i="6"/>
  <c r="B31" i="6" l="1"/>
  <c r="B149" i="7" s="1"/>
  <c r="J32" i="6"/>
  <c r="C32" i="6"/>
  <c r="L33" i="6"/>
  <c r="B32" i="6" l="1"/>
  <c r="J33" i="6"/>
  <c r="C33" i="6"/>
  <c r="L34" i="6"/>
  <c r="B33" i="6" l="1"/>
  <c r="J34" i="6"/>
  <c r="C34" i="6"/>
  <c r="L35" i="6"/>
  <c r="B34" i="6" l="1"/>
  <c r="J35" i="6"/>
  <c r="L36" i="6"/>
  <c r="C35" i="6"/>
  <c r="B35" i="6" l="1"/>
  <c r="J36" i="6"/>
  <c r="L37" i="6"/>
  <c r="C36" i="6"/>
  <c r="B36" i="6" l="1"/>
  <c r="J37" i="6"/>
  <c r="C37" i="6"/>
  <c r="L38" i="6"/>
  <c r="B37" i="6" l="1"/>
  <c r="J38" i="6"/>
  <c r="C38" i="6"/>
  <c r="L39" i="6"/>
  <c r="B38" i="6" l="1"/>
  <c r="J39" i="6"/>
  <c r="C39" i="6"/>
  <c r="L40" i="6"/>
  <c r="B39" i="6" l="1"/>
  <c r="J40" i="6"/>
  <c r="L51" i="6"/>
  <c r="C40" i="6"/>
  <c r="B40" i="6" l="1"/>
  <c r="J51" i="6"/>
  <c r="C51" i="6"/>
  <c r="L52" i="6"/>
  <c r="B51" i="6" l="1"/>
  <c r="J52" i="6"/>
  <c r="L53" i="6"/>
  <c r="C52" i="6"/>
  <c r="B52" i="6" l="1"/>
  <c r="J53" i="6"/>
  <c r="L54" i="6"/>
  <c r="C53" i="6"/>
  <c r="B53" i="6" l="1"/>
  <c r="J54" i="6"/>
  <c r="C54" i="6"/>
  <c r="L55" i="6"/>
  <c r="B54" i="6" l="1"/>
  <c r="J55" i="6"/>
  <c r="C55" i="6"/>
  <c r="L56" i="6"/>
  <c r="B55" i="6" l="1"/>
  <c r="J56" i="6"/>
  <c r="L57" i="6"/>
  <c r="C56" i="6"/>
  <c r="B56" i="6" l="1"/>
  <c r="J57" i="6"/>
  <c r="C57" i="6"/>
  <c r="L58" i="6"/>
  <c r="B57" i="6" l="1"/>
  <c r="J58" i="6"/>
  <c r="C58" i="6"/>
  <c r="L59" i="6"/>
  <c r="B58" i="6" l="1"/>
  <c r="J59" i="6"/>
  <c r="C59" i="6"/>
  <c r="L60" i="6"/>
  <c r="B59" i="6" l="1"/>
  <c r="J60" i="6"/>
  <c r="L61" i="6"/>
  <c r="C60" i="6"/>
  <c r="B60" i="6" l="1"/>
  <c r="J61" i="6"/>
  <c r="C61" i="6"/>
  <c r="L62" i="6"/>
  <c r="B61" i="6" l="1"/>
  <c r="J62" i="6"/>
  <c r="L63" i="6"/>
  <c r="C62" i="6"/>
  <c r="B62" i="6" l="1"/>
  <c r="J63" i="6"/>
  <c r="L64" i="6"/>
  <c r="C63" i="6"/>
  <c r="B63" i="6" l="1"/>
  <c r="J64" i="6"/>
  <c r="L65" i="6"/>
  <c r="C64" i="6"/>
  <c r="B64" i="6" l="1"/>
  <c r="J65" i="6"/>
  <c r="C65" i="6"/>
  <c r="L66" i="6"/>
  <c r="B65" i="6" l="1"/>
  <c r="J66" i="6"/>
  <c r="C66" i="6"/>
  <c r="L67" i="6"/>
  <c r="B66" i="6" l="1"/>
  <c r="J67" i="6"/>
  <c r="C67" i="6"/>
  <c r="L68" i="6"/>
  <c r="B67" i="6" l="1"/>
  <c r="J68" i="6"/>
  <c r="L69" i="6"/>
  <c r="C68" i="6"/>
  <c r="B68" i="6" l="1"/>
  <c r="J69" i="6"/>
  <c r="L70" i="6"/>
  <c r="C69" i="6"/>
  <c r="B69" i="6" l="1"/>
  <c r="J70" i="6"/>
  <c r="C70" i="6"/>
  <c r="L71" i="6"/>
  <c r="B70" i="6" l="1"/>
  <c r="J71" i="6"/>
  <c r="C71" i="6"/>
  <c r="L72" i="6"/>
  <c r="B71" i="6" l="1"/>
  <c r="J72" i="6"/>
  <c r="L73" i="6"/>
  <c r="C72" i="6"/>
  <c r="B72" i="6" l="1"/>
  <c r="J73" i="6"/>
  <c r="C73" i="6"/>
  <c r="L74" i="6"/>
  <c r="B73" i="6" l="1"/>
  <c r="J74" i="6"/>
  <c r="C74" i="6"/>
  <c r="L75" i="6"/>
  <c r="B74" i="6" l="1"/>
  <c r="J75" i="6"/>
  <c r="C75" i="6"/>
  <c r="L76" i="6"/>
  <c r="B75" i="6" l="1"/>
  <c r="J76" i="6"/>
  <c r="L77" i="6"/>
  <c r="C76" i="6"/>
  <c r="B76" i="6" l="1"/>
  <c r="J77" i="6"/>
  <c r="L78" i="6"/>
  <c r="C77" i="6"/>
  <c r="B77" i="6" l="1"/>
  <c r="J78" i="6"/>
  <c r="C78" i="6"/>
  <c r="L79" i="6"/>
  <c r="B78" i="6" l="1"/>
  <c r="J79" i="6"/>
  <c r="L80" i="6"/>
  <c r="C79" i="6"/>
  <c r="B79" i="6" l="1"/>
  <c r="J80" i="6"/>
  <c r="L81" i="6"/>
  <c r="C80" i="6"/>
  <c r="B80" i="6" l="1"/>
  <c r="J81" i="6"/>
  <c r="C81" i="6"/>
  <c r="L82" i="6"/>
  <c r="C82" i="6" s="1"/>
  <c r="L95" i="6"/>
  <c r="L83" i="6"/>
  <c r="C83" i="6" s="1"/>
  <c r="B81" i="6" l="1"/>
  <c r="J95" i="6"/>
  <c r="J83" i="6"/>
  <c r="B83" i="6" s="1"/>
  <c r="J82" i="6"/>
  <c r="B82" i="6" s="1"/>
  <c r="L96" i="6"/>
  <c r="C95" i="6"/>
  <c r="B95" i="6" l="1"/>
  <c r="J96" i="6"/>
  <c r="L97" i="6"/>
  <c r="C96" i="6"/>
  <c r="B96" i="6" l="1"/>
  <c r="J97" i="6"/>
  <c r="L98" i="6"/>
  <c r="C97" i="6"/>
  <c r="B97" i="6" l="1"/>
  <c r="J98" i="6"/>
  <c r="C98" i="6"/>
  <c r="L99" i="6"/>
  <c r="B98" i="6" l="1"/>
  <c r="J99" i="6"/>
  <c r="C99" i="6"/>
  <c r="L101" i="6"/>
  <c r="L104" i="6" s="1"/>
  <c r="C104" i="6" s="1"/>
  <c r="B99" i="6" l="1"/>
  <c r="J101" i="6"/>
  <c r="L100" i="6"/>
  <c r="C101" i="6"/>
  <c r="J104" i="6" l="1"/>
  <c r="B101" i="6"/>
  <c r="J100" i="6"/>
  <c r="L102" i="6"/>
  <c r="L103" i="6"/>
  <c r="C100" i="6"/>
  <c r="B202" i="7" l="1"/>
  <c r="B104" i="6"/>
  <c r="B100" i="6"/>
  <c r="J102" i="6"/>
  <c r="J103" i="6"/>
  <c r="B103" i="6" s="1"/>
  <c r="B201" i="7" s="1"/>
  <c r="C102" i="6"/>
  <c r="L105" i="6"/>
  <c r="C105" i="6" s="1"/>
  <c r="C103" i="6"/>
  <c r="B102" i="6" l="1"/>
  <c r="B200" i="7" s="1"/>
  <c r="J105" i="6"/>
  <c r="L106" i="6"/>
  <c r="B105" i="6" l="1"/>
  <c r="B203" i="7" s="1"/>
  <c r="J106" i="6"/>
  <c r="C106" i="6"/>
  <c r="L107" i="6"/>
  <c r="B106" i="6" l="1"/>
  <c r="J107" i="6"/>
  <c r="C107" i="6"/>
  <c r="L108" i="6"/>
  <c r="B107" i="6" l="1"/>
  <c r="J108" i="6"/>
  <c r="C108" i="6"/>
  <c r="L109" i="6"/>
  <c r="B108" i="6" l="1"/>
  <c r="J109" i="6"/>
  <c r="L110" i="6"/>
  <c r="C109" i="6"/>
  <c r="B109" i="6" l="1"/>
  <c r="J110" i="6"/>
  <c r="L111" i="6"/>
  <c r="C110" i="6"/>
  <c r="B110" i="6" l="1"/>
  <c r="J111" i="6"/>
  <c r="L112" i="6"/>
  <c r="C111" i="6"/>
  <c r="B111" i="6" l="1"/>
  <c r="B209" i="7" s="1"/>
  <c r="J112" i="6"/>
  <c r="L113" i="6"/>
  <c r="C112" i="6"/>
  <c r="B112" i="6" l="1"/>
  <c r="B210" i="7" s="1"/>
  <c r="J113" i="6"/>
  <c r="C113" i="6"/>
  <c r="L114" i="6"/>
  <c r="B113" i="6" l="1"/>
  <c r="B211" i="7" s="1"/>
  <c r="J114" i="6"/>
  <c r="C114" i="6"/>
  <c r="L115" i="6"/>
  <c r="B114" i="6" l="1"/>
  <c r="J115" i="6"/>
  <c r="C115" i="6"/>
  <c r="L116" i="6"/>
  <c r="B115" i="6" l="1"/>
  <c r="J116" i="6"/>
  <c r="L132" i="6"/>
  <c r="C116" i="6"/>
  <c r="B116" i="6" l="1"/>
  <c r="J132" i="6"/>
  <c r="L133" i="6"/>
  <c r="C132" i="6"/>
  <c r="B132" i="6" l="1"/>
  <c r="J133" i="6"/>
  <c r="C133" i="6"/>
  <c r="L134" i="6"/>
  <c r="B133" i="6" l="1"/>
  <c r="J134" i="6"/>
  <c r="C134" i="6"/>
  <c r="L135" i="6"/>
  <c r="B134" i="6" l="1"/>
  <c r="J135" i="6"/>
  <c r="L136" i="6"/>
  <c r="C135" i="6"/>
  <c r="B135" i="6" l="1"/>
  <c r="J136" i="6"/>
  <c r="L137" i="6"/>
  <c r="C136" i="6"/>
  <c r="B136" i="6" l="1"/>
  <c r="J137" i="6"/>
  <c r="C137" i="6"/>
  <c r="L138" i="6"/>
  <c r="B137" i="6" l="1"/>
  <c r="J138" i="6"/>
  <c r="C138" i="6"/>
  <c r="L139" i="6"/>
  <c r="B138" i="6" l="1"/>
  <c r="J139" i="6"/>
  <c r="L140" i="6"/>
  <c r="C139" i="6"/>
  <c r="B139" i="6" l="1"/>
  <c r="J140" i="6"/>
  <c r="L141" i="6"/>
  <c r="C140" i="6"/>
  <c r="B140" i="6" l="1"/>
  <c r="J141" i="6"/>
  <c r="C141" i="6"/>
  <c r="L142" i="6"/>
  <c r="B141" i="6" l="1"/>
  <c r="J142" i="6"/>
  <c r="L143" i="6"/>
  <c r="C142" i="6"/>
  <c r="B142" i="6" l="1"/>
  <c r="J143" i="6"/>
  <c r="C143" i="6"/>
  <c r="L144" i="6"/>
  <c r="B143" i="6" l="1"/>
  <c r="J144" i="6"/>
  <c r="C144" i="6"/>
  <c r="L145" i="6"/>
  <c r="B144" i="6" l="1"/>
  <c r="J145" i="6"/>
  <c r="C145" i="6"/>
  <c r="L146" i="6"/>
  <c r="B145" i="6" l="1"/>
  <c r="J146" i="6"/>
  <c r="C146" i="6"/>
  <c r="L147" i="6"/>
  <c r="B146" i="6" l="1"/>
  <c r="J147" i="6"/>
  <c r="L151" i="6"/>
  <c r="C147" i="6"/>
  <c r="B147" i="6" l="1"/>
  <c r="J151" i="6"/>
  <c r="L152" i="6"/>
  <c r="C151" i="6"/>
  <c r="B151" i="6" l="1"/>
  <c r="J152" i="6"/>
  <c r="C152" i="6"/>
  <c r="L153" i="6"/>
  <c r="B152" i="6" l="1"/>
  <c r="J153" i="6"/>
  <c r="L154" i="6"/>
  <c r="C153" i="6"/>
  <c r="D9" i="15"/>
  <c r="M15" i="13"/>
  <c r="G142" i="3"/>
  <c r="F141" i="3"/>
  <c r="G141" i="3" s="1"/>
  <c r="G128" i="3"/>
  <c r="F129" i="3"/>
  <c r="G129" i="3" s="1"/>
  <c r="F128" i="3"/>
  <c r="F127" i="3"/>
  <c r="G127" i="3" s="1"/>
  <c r="F126" i="3"/>
  <c r="G126" i="3" s="1"/>
  <c r="F222" i="12"/>
  <c r="F221" i="12"/>
  <c r="B153" i="6" l="1"/>
  <c r="J154" i="6"/>
  <c r="L155" i="6"/>
  <c r="C154" i="6"/>
  <c r="A119" i="7"/>
  <c r="A234" i="7" s="1"/>
  <c r="A120" i="7"/>
  <c r="A235" i="7" s="1"/>
  <c r="A121" i="7"/>
  <c r="A236" i="7" s="1"/>
  <c r="A122" i="7"/>
  <c r="A237" i="7" s="1"/>
  <c r="A29" i="7"/>
  <c r="A144" i="7" s="1"/>
  <c r="A30" i="7"/>
  <c r="A145" i="7" s="1"/>
  <c r="A26" i="7"/>
  <c r="A141" i="7" s="1"/>
  <c r="D233" i="28"/>
  <c r="D289" i="28"/>
  <c r="F289" i="28" s="1"/>
  <c r="D311" i="28"/>
  <c r="F309" i="28"/>
  <c r="D279" i="28"/>
  <c r="F279" i="28" s="1"/>
  <c r="F308" i="28"/>
  <c r="D216" i="28"/>
  <c r="B154" i="6" l="1"/>
  <c r="J155" i="6"/>
  <c r="C155" i="6"/>
  <c r="L156" i="6"/>
  <c r="D215" i="28"/>
  <c r="F215" i="28" s="1"/>
  <c r="D325" i="28"/>
  <c r="D324" i="28"/>
  <c r="D323" i="28"/>
  <c r="D322" i="28"/>
  <c r="D321" i="28"/>
  <c r="D319" i="28"/>
  <c r="D320" i="28"/>
  <c r="D318" i="28"/>
  <c r="D300" i="28"/>
  <c r="D296" i="28"/>
  <c r="D295" i="28"/>
  <c r="D294" i="28"/>
  <c r="D293" i="28"/>
  <c r="D292" i="28"/>
  <c r="D286" i="28"/>
  <c r="D284" i="28"/>
  <c r="D281" i="28"/>
  <c r="D271" i="28"/>
  <c r="D262" i="28"/>
  <c r="D304" i="28"/>
  <c r="D259" i="28"/>
  <c r="D257" i="28"/>
  <c r="D254" i="28"/>
  <c r="D252" i="28"/>
  <c r="D251" i="28"/>
  <c r="D249" i="28"/>
  <c r="D248" i="28"/>
  <c r="D245" i="28"/>
  <c r="D244" i="28"/>
  <c r="D241" i="28"/>
  <c r="D240" i="28"/>
  <c r="D239" i="28"/>
  <c r="D238" i="28"/>
  <c r="D226" i="28"/>
  <c r="D214" i="28"/>
  <c r="D222" i="28"/>
  <c r="D221" i="28"/>
  <c r="D220" i="28"/>
  <c r="D209" i="28"/>
  <c r="D198" i="28"/>
  <c r="B155" i="6" l="1"/>
  <c r="J156" i="6"/>
  <c r="C156" i="6"/>
  <c r="L157" i="6"/>
  <c r="F9" i="17"/>
  <c r="A21" i="7"/>
  <c r="E351" i="28"/>
  <c r="E352" i="28" s="1"/>
  <c r="E348" i="28"/>
  <c r="E347" i="28"/>
  <c r="E346" i="28"/>
  <c r="E345" i="28"/>
  <c r="E344" i="28"/>
  <c r="E343" i="28"/>
  <c r="E342" i="28"/>
  <c r="E326" i="28"/>
  <c r="F325" i="28"/>
  <c r="F324" i="28"/>
  <c r="F323" i="28"/>
  <c r="F322" i="28"/>
  <c r="F321" i="28"/>
  <c r="F320" i="28"/>
  <c r="F319" i="28"/>
  <c r="F318" i="28"/>
  <c r="D317" i="28"/>
  <c r="F317" i="28" s="1"/>
  <c r="F315" i="28"/>
  <c r="F313" i="28"/>
  <c r="F312" i="28"/>
  <c r="F311" i="28"/>
  <c r="D301" i="28"/>
  <c r="F301" i="28" s="1"/>
  <c r="F300" i="28"/>
  <c r="F298" i="28"/>
  <c r="F296" i="28"/>
  <c r="F295" i="28"/>
  <c r="F294" i="28"/>
  <c r="F293" i="28"/>
  <c r="F292" i="28"/>
  <c r="D288" i="28"/>
  <c r="F288" i="28" s="1"/>
  <c r="F287" i="28"/>
  <c r="F286" i="28"/>
  <c r="F285" i="28"/>
  <c r="F284" i="28"/>
  <c r="F282" i="28"/>
  <c r="F281" i="28"/>
  <c r="F277" i="28"/>
  <c r="F276" i="28"/>
  <c r="F275" i="28"/>
  <c r="F307" i="28"/>
  <c r="F306" i="28"/>
  <c r="F273" i="28"/>
  <c r="F272" i="28"/>
  <c r="F271" i="28"/>
  <c r="F270" i="28"/>
  <c r="F269" i="28"/>
  <c r="F268" i="28"/>
  <c r="F266" i="28"/>
  <c r="F305" i="28"/>
  <c r="D263" i="28"/>
  <c r="F263" i="28" s="1"/>
  <c r="F262" i="28"/>
  <c r="F261" i="28"/>
  <c r="F260" i="28"/>
  <c r="F304" i="28"/>
  <c r="F259" i="28"/>
  <c r="D258" i="28"/>
  <c r="F258" i="28" s="1"/>
  <c r="F257" i="28"/>
  <c r="F303" i="28"/>
  <c r="F255" i="28"/>
  <c r="F254" i="28"/>
  <c r="F253" i="28"/>
  <c r="F252" i="28"/>
  <c r="F251" i="28"/>
  <c r="F250" i="28"/>
  <c r="F249" i="28"/>
  <c r="F248" i="28"/>
  <c r="D247" i="28"/>
  <c r="F247" i="28" s="1"/>
  <c r="D246" i="28"/>
  <c r="F246" i="28" s="1"/>
  <c r="F245" i="28"/>
  <c r="F244" i="28"/>
  <c r="F241" i="28"/>
  <c r="F240" i="28"/>
  <c r="F239" i="28"/>
  <c r="F238" i="28"/>
  <c r="F236" i="28"/>
  <c r="F235" i="28"/>
  <c r="F233" i="28"/>
  <c r="F232" i="28"/>
  <c r="F231" i="28"/>
  <c r="F230" i="28"/>
  <c r="D228" i="28"/>
  <c r="F228" i="28" s="1"/>
  <c r="D227" i="28"/>
  <c r="F227" i="28" s="1"/>
  <c r="F226" i="28"/>
  <c r="F224" i="28"/>
  <c r="F214" i="28"/>
  <c r="F223" i="28"/>
  <c r="F222" i="28"/>
  <c r="F221" i="28"/>
  <c r="F220" i="28"/>
  <c r="F219" i="28"/>
  <c r="F218" i="28"/>
  <c r="F212" i="28"/>
  <c r="F210" i="28"/>
  <c r="F209" i="28"/>
  <c r="F206" i="28"/>
  <c r="F205" i="28"/>
  <c r="F198" i="28"/>
  <c r="F196" i="28"/>
  <c r="F194" i="28"/>
  <c r="F193" i="28"/>
  <c r="F192" i="28"/>
  <c r="F191" i="28"/>
  <c r="F190" i="28"/>
  <c r="I189" i="28"/>
  <c r="D186" i="28" s="1"/>
  <c r="F186" i="28" s="1"/>
  <c r="F189" i="28"/>
  <c r="F188" i="28"/>
  <c r="C184" i="28"/>
  <c r="C183" i="28"/>
  <c r="B17" i="28"/>
  <c r="C9" i="28"/>
  <c r="B156" i="6" l="1"/>
  <c r="J157" i="6"/>
  <c r="C157" i="6"/>
  <c r="L158" i="6"/>
  <c r="C158" i="6" s="1"/>
  <c r="E353" i="28"/>
  <c r="F55" i="20"/>
  <c r="D318" i="12"/>
  <c r="F318" i="12" s="1"/>
  <c r="F328" i="12"/>
  <c r="F327" i="12"/>
  <c r="F326" i="12"/>
  <c r="F325" i="12"/>
  <c r="F324" i="12"/>
  <c r="F323" i="12"/>
  <c r="F322" i="12"/>
  <c r="F321" i="12"/>
  <c r="F319" i="12"/>
  <c r="F317" i="12"/>
  <c r="F315" i="12"/>
  <c r="D310" i="12"/>
  <c r="D308" i="12"/>
  <c r="B157" i="6" l="1"/>
  <c r="J158" i="6"/>
  <c r="B158" i="6" s="1"/>
  <c r="F312" i="12"/>
  <c r="F311" i="12"/>
  <c r="F310" i="12"/>
  <c r="F309" i="12"/>
  <c r="F308" i="12"/>
  <c r="F306" i="12" l="1"/>
  <c r="F305" i="12"/>
  <c r="F304" i="12"/>
  <c r="F303" i="12"/>
  <c r="D301" i="12"/>
  <c r="F301" i="12" s="1"/>
  <c r="D300" i="12"/>
  <c r="F300" i="12" s="1"/>
  <c r="D299" i="12"/>
  <c r="F299" i="12" s="1"/>
  <c r="D298" i="12"/>
  <c r="F298" i="12" s="1"/>
  <c r="D287" i="12"/>
  <c r="F287" i="12" s="1"/>
  <c r="D286" i="12"/>
  <c r="F286" i="12" s="1"/>
  <c r="F297" i="12"/>
  <c r="W9" i="13"/>
  <c r="W10" i="13"/>
  <c r="W11" i="13"/>
  <c r="W14" i="13"/>
  <c r="W15" i="13"/>
  <c r="W16" i="13"/>
  <c r="W17" i="13"/>
  <c r="W18" i="13"/>
  <c r="W33" i="13"/>
  <c r="D284" i="12"/>
  <c r="F284" i="12" s="1"/>
  <c r="D283" i="12"/>
  <c r="F283" i="12" s="1"/>
  <c r="D274" i="12"/>
  <c r="F274" i="12" s="1"/>
  <c r="F281" i="12"/>
  <c r="F280" i="12"/>
  <c r="F279" i="12"/>
  <c r="F278" i="12"/>
  <c r="F277" i="12"/>
  <c r="F276" i="12"/>
  <c r="F275" i="12"/>
  <c r="D272" i="12"/>
  <c r="D263" i="12" l="1"/>
  <c r="F263" i="12" s="1"/>
  <c r="F272" i="12"/>
  <c r="F271" i="12"/>
  <c r="F269" i="12"/>
  <c r="F268" i="12"/>
  <c r="F267" i="12"/>
  <c r="F266" i="12"/>
  <c r="F265" i="12"/>
  <c r="F264" i="12"/>
  <c r="D261" i="12" l="1"/>
  <c r="F261" i="12" s="1"/>
  <c r="D259" i="12"/>
  <c r="F259" i="12" s="1"/>
  <c r="D257" i="12"/>
  <c r="F257" i="12" s="1"/>
  <c r="D254" i="12"/>
  <c r="F254" i="12" s="1"/>
  <c r="F258" i="12"/>
  <c r="F256" i="12"/>
  <c r="D252" i="12"/>
  <c r="F252" i="12" s="1"/>
  <c r="D250" i="12"/>
  <c r="F250" i="12" s="1"/>
  <c r="D249" i="12"/>
  <c r="F249" i="12" s="1"/>
  <c r="D247" i="12"/>
  <c r="F247" i="12" s="1"/>
  <c r="D246" i="12"/>
  <c r="F246" i="12" s="1"/>
  <c r="D245" i="12"/>
  <c r="F245" i="12" s="1"/>
  <c r="D242" i="12"/>
  <c r="F242" i="12" s="1"/>
  <c r="D239" i="12"/>
  <c r="F239" i="12" s="1"/>
  <c r="D238" i="12"/>
  <c r="F238" i="12" s="1"/>
  <c r="F251" i="12"/>
  <c r="F248" i="12"/>
  <c r="F243" i="12"/>
  <c r="F241" i="12"/>
  <c r="F240" i="12"/>
  <c r="F236" i="12"/>
  <c r="F234" i="12"/>
  <c r="F233" i="12"/>
  <c r="F232" i="12"/>
  <c r="F231" i="12"/>
  <c r="F230" i="12"/>
  <c r="D255" i="12" l="1"/>
  <c r="F255" i="12" s="1"/>
  <c r="F383" i="27" l="1"/>
  <c r="F214" i="27"/>
  <c r="F212" i="27"/>
  <c r="F211" i="27"/>
  <c r="D195" i="27"/>
  <c r="F195" i="27" s="1"/>
  <c r="F193" i="27"/>
  <c r="F191" i="27"/>
  <c r="F190" i="27"/>
  <c r="F188" i="27"/>
  <c r="F187" i="27"/>
  <c r="F186" i="27"/>
  <c r="F185" i="27"/>
  <c r="C181" i="27"/>
  <c r="C180" i="27"/>
  <c r="B17" i="27"/>
  <c r="C9" i="27"/>
  <c r="F17" i="26" l="1"/>
  <c r="F18" i="26" s="1"/>
  <c r="F9" i="26"/>
  <c r="F28" i="25"/>
  <c r="F25" i="25"/>
  <c r="F22" i="25"/>
  <c r="F9" i="25"/>
  <c r="F38" i="24"/>
  <c r="F37" i="24"/>
  <c r="F36" i="24"/>
  <c r="F35" i="24"/>
  <c r="F34" i="24"/>
  <c r="F33" i="24"/>
  <c r="F32" i="24"/>
  <c r="F31" i="24"/>
  <c r="F30" i="24"/>
  <c r="F29" i="24"/>
  <c r="F26" i="24"/>
  <c r="F27" i="24" s="1"/>
  <c r="F23" i="24"/>
  <c r="F22" i="24"/>
  <c r="F18" i="24"/>
  <c r="F15" i="24"/>
  <c r="F14" i="24"/>
  <c r="F13" i="24"/>
  <c r="F12" i="24"/>
  <c r="F11" i="24"/>
  <c r="F10" i="24"/>
  <c r="F9" i="24"/>
  <c r="G36" i="23"/>
  <c r="G33" i="23"/>
  <c r="G32" i="23"/>
  <c r="G31" i="23"/>
  <c r="G30" i="23"/>
  <c r="G29" i="23"/>
  <c r="G28" i="23"/>
  <c r="G27" i="23"/>
  <c r="G26" i="23"/>
  <c r="G25" i="23"/>
  <c r="G24" i="23"/>
  <c r="G23" i="23"/>
  <c r="G22" i="23"/>
  <c r="G21" i="23"/>
  <c r="G18" i="23"/>
  <c r="G17" i="23"/>
  <c r="G16" i="23"/>
  <c r="G15" i="23"/>
  <c r="G14" i="23"/>
  <c r="G13" i="23"/>
  <c r="G12" i="23"/>
  <c r="G11" i="23"/>
  <c r="G10" i="23"/>
  <c r="G9" i="23"/>
  <c r="G8" i="23"/>
  <c r="G7" i="23"/>
  <c r="G6" i="23"/>
  <c r="F15" i="22"/>
  <c r="F11" i="22"/>
  <c r="F8" i="22"/>
  <c r="F25" i="21"/>
  <c r="F18" i="20"/>
  <c r="F15" i="20"/>
  <c r="F23" i="17"/>
  <c r="F22" i="17"/>
  <c r="F21" i="17"/>
  <c r="F20" i="17"/>
  <c r="F17" i="17"/>
  <c r="F16" i="17"/>
  <c r="F15" i="17"/>
  <c r="F14" i="17"/>
  <c r="F13" i="17"/>
  <c r="F12" i="17"/>
  <c r="F11" i="17"/>
  <c r="F8" i="17"/>
  <c r="F7" i="17"/>
  <c r="F6" i="17"/>
  <c r="F5" i="17"/>
  <c r="F4" i="17"/>
  <c r="F3" i="17"/>
  <c r="G74" i="16"/>
  <c r="G73" i="16"/>
  <c r="G58" i="16"/>
  <c r="G57" i="16"/>
  <c r="G56" i="16"/>
  <c r="G55" i="16"/>
  <c r="G54" i="16"/>
  <c r="G53" i="16"/>
  <c r="G52" i="16"/>
  <c r="F22" i="15"/>
  <c r="F23" i="15" s="1"/>
  <c r="F19" i="15"/>
  <c r="F18" i="15"/>
  <c r="F17" i="15"/>
  <c r="F16" i="15"/>
  <c r="F15" i="15"/>
  <c r="F14" i="15"/>
  <c r="F13" i="15"/>
  <c r="F10" i="15"/>
  <c r="F9" i="15"/>
  <c r="F8" i="15"/>
  <c r="F7" i="15"/>
  <c r="F6" i="15"/>
  <c r="F35" i="14"/>
  <c r="F34" i="14"/>
  <c r="D33" i="14"/>
  <c r="F33" i="14" s="1"/>
  <c r="F32" i="14"/>
  <c r="D31" i="14"/>
  <c r="F31" i="14" s="1"/>
  <c r="F30" i="14"/>
  <c r="D29" i="14"/>
  <c r="F29" i="14" s="1"/>
  <c r="F28" i="14"/>
  <c r="D27" i="14"/>
  <c r="F27" i="14" s="1"/>
  <c r="F26" i="14"/>
  <c r="F23" i="14"/>
  <c r="F21" i="14"/>
  <c r="F20" i="14"/>
  <c r="F17" i="14"/>
  <c r="F16" i="14"/>
  <c r="F15" i="14"/>
  <c r="F14" i="14"/>
  <c r="F13" i="14"/>
  <c r="F12" i="14"/>
  <c r="F11" i="14"/>
  <c r="F10" i="14"/>
  <c r="F9" i="14"/>
  <c r="F8" i="14"/>
  <c r="F7" i="14"/>
  <c r="F6" i="14"/>
  <c r="X33" i="13"/>
  <c r="N29" i="13"/>
  <c r="K29" i="13"/>
  <c r="X29" i="13" s="1"/>
  <c r="T28" i="13"/>
  <c r="Q28" i="13"/>
  <c r="N28" i="13"/>
  <c r="J28" i="13"/>
  <c r="K28" i="13" s="1"/>
  <c r="H28" i="13"/>
  <c r="E28" i="13"/>
  <c r="H26" i="13"/>
  <c r="E26" i="13"/>
  <c r="H25" i="13"/>
  <c r="E25" i="13"/>
  <c r="H24" i="13"/>
  <c r="E24" i="13"/>
  <c r="H23" i="13"/>
  <c r="E23" i="13"/>
  <c r="H22" i="13"/>
  <c r="E22" i="13"/>
  <c r="T18" i="13"/>
  <c r="Q18" i="13"/>
  <c r="N18" i="13"/>
  <c r="K18" i="13"/>
  <c r="H18" i="13"/>
  <c r="E18" i="13"/>
  <c r="T17" i="13"/>
  <c r="Q17" i="13"/>
  <c r="N17" i="13"/>
  <c r="K17" i="13"/>
  <c r="H17" i="13"/>
  <c r="E17" i="13"/>
  <c r="T16" i="13"/>
  <c r="Q16" i="13"/>
  <c r="N16" i="13"/>
  <c r="K16" i="13"/>
  <c r="H16" i="13"/>
  <c r="E16" i="13"/>
  <c r="T15" i="13"/>
  <c r="P15" i="13"/>
  <c r="B276" i="29" s="1"/>
  <c r="N15" i="13"/>
  <c r="K15" i="13"/>
  <c r="H15" i="13"/>
  <c r="E15" i="13"/>
  <c r="T14" i="13"/>
  <c r="N14" i="13"/>
  <c r="K14" i="13"/>
  <c r="N11" i="13"/>
  <c r="K11" i="13"/>
  <c r="H11" i="13"/>
  <c r="E11" i="13"/>
  <c r="N10" i="13"/>
  <c r="K10" i="13"/>
  <c r="H10" i="13"/>
  <c r="E10" i="13"/>
  <c r="N9" i="13"/>
  <c r="K9" i="13"/>
  <c r="H9" i="13"/>
  <c r="E9" i="13"/>
  <c r="E329" i="12"/>
  <c r="D228" i="12"/>
  <c r="F228" i="12" s="1"/>
  <c r="F227" i="12"/>
  <c r="D226" i="12"/>
  <c r="F226" i="12" s="1"/>
  <c r="F225" i="12"/>
  <c r="F224" i="12"/>
  <c r="D219" i="12"/>
  <c r="F219" i="12" s="1"/>
  <c r="D217" i="12"/>
  <c r="F217" i="12" s="1"/>
  <c r="D216" i="12"/>
  <c r="F216" i="12" s="1"/>
  <c r="D213" i="12"/>
  <c r="F213" i="12" s="1"/>
  <c r="D212" i="12"/>
  <c r="D211" i="12"/>
  <c r="F211" i="12" s="1"/>
  <c r="D210" i="12"/>
  <c r="F210" i="12" s="1"/>
  <c r="D209" i="12"/>
  <c r="F209" i="12" s="1"/>
  <c r="D208" i="12"/>
  <c r="F207" i="12"/>
  <c r="F206" i="12"/>
  <c r="D205" i="12"/>
  <c r="F204" i="12"/>
  <c r="D198" i="12"/>
  <c r="F198" i="12" s="1"/>
  <c r="F196" i="12"/>
  <c r="F194" i="12"/>
  <c r="H193" i="12"/>
  <c r="F193" i="12"/>
  <c r="F192" i="12"/>
  <c r="F191" i="12"/>
  <c r="F190" i="12"/>
  <c r="I189" i="12"/>
  <c r="D186" i="12" s="1"/>
  <c r="F186" i="12" s="1"/>
  <c r="F189" i="12"/>
  <c r="F188" i="12"/>
  <c r="C184" i="12"/>
  <c r="C183" i="12"/>
  <c r="B17" i="12"/>
  <c r="C9" i="12"/>
  <c r="I122" i="9"/>
  <c r="E122" i="9"/>
  <c r="I115" i="9"/>
  <c r="E115" i="9"/>
  <c r="I106" i="9"/>
  <c r="E106" i="9"/>
  <c r="I97" i="9"/>
  <c r="E97" i="9"/>
  <c r="I90" i="9"/>
  <c r="E90" i="9"/>
  <c r="I82" i="9"/>
  <c r="E82" i="9"/>
  <c r="I73" i="9"/>
  <c r="I65" i="9"/>
  <c r="I13" i="9"/>
  <c r="I14" i="9" s="1"/>
  <c r="I59" i="9"/>
  <c r="E59" i="9"/>
  <c r="I48" i="9"/>
  <c r="E48" i="9"/>
  <c r="I39" i="9"/>
  <c r="I27" i="9"/>
  <c r="A118" i="7"/>
  <c r="A233" i="7" s="1"/>
  <c r="A117" i="7"/>
  <c r="A232" i="7" s="1"/>
  <c r="A116" i="7"/>
  <c r="A231" i="7" s="1"/>
  <c r="A115" i="7"/>
  <c r="A230" i="7" s="1"/>
  <c r="A114" i="7"/>
  <c r="A229" i="7" s="1"/>
  <c r="A113" i="7"/>
  <c r="A228" i="7" s="1"/>
  <c r="A112" i="7"/>
  <c r="A227" i="7" s="1"/>
  <c r="A111" i="7"/>
  <c r="A226" i="7" s="1"/>
  <c r="A110" i="7"/>
  <c r="A225" i="7" s="1"/>
  <c r="A109" i="7"/>
  <c r="A224" i="7" s="1"/>
  <c r="A108" i="7"/>
  <c r="A223" i="7" s="1"/>
  <c r="A107" i="7"/>
  <c r="A222" i="7" s="1"/>
  <c r="A106" i="7"/>
  <c r="A221" i="7" s="1"/>
  <c r="A105" i="7"/>
  <c r="A220" i="7" s="1"/>
  <c r="A104" i="7"/>
  <c r="A219" i="7" s="1"/>
  <c r="A103" i="7"/>
  <c r="A218" i="7" s="1"/>
  <c r="A102" i="7"/>
  <c r="A217" i="7" s="1"/>
  <c r="A101" i="7"/>
  <c r="A216" i="7" s="1"/>
  <c r="A100" i="7"/>
  <c r="A215" i="7" s="1"/>
  <c r="A99" i="7"/>
  <c r="A214" i="7" s="1"/>
  <c r="A98" i="7"/>
  <c r="A213" i="7" s="1"/>
  <c r="A97" i="7"/>
  <c r="A212" i="7" s="1"/>
  <c r="A93" i="7"/>
  <c r="A208" i="7" s="1"/>
  <c r="A92" i="7"/>
  <c r="A207" i="7" s="1"/>
  <c r="A91" i="7"/>
  <c r="A206" i="7" s="1"/>
  <c r="A90" i="7"/>
  <c r="A205" i="7" s="1"/>
  <c r="A89" i="7"/>
  <c r="A204" i="7" s="1"/>
  <c r="A84" i="7"/>
  <c r="A199" i="7" s="1"/>
  <c r="A83" i="7"/>
  <c r="A198" i="7" s="1"/>
  <c r="A82" i="7"/>
  <c r="A197" i="7" s="1"/>
  <c r="A81" i="7"/>
  <c r="A196" i="7" s="1"/>
  <c r="A80" i="7"/>
  <c r="A195" i="7" s="1"/>
  <c r="A79" i="7"/>
  <c r="A194" i="7" s="1"/>
  <c r="A78" i="7"/>
  <c r="A193" i="7" s="1"/>
  <c r="A77" i="7"/>
  <c r="A192" i="7" s="1"/>
  <c r="A76" i="7"/>
  <c r="A191" i="7" s="1"/>
  <c r="A75" i="7"/>
  <c r="A190" i="7" s="1"/>
  <c r="A74" i="7"/>
  <c r="A189" i="7" s="1"/>
  <c r="A73" i="7"/>
  <c r="A188" i="7" s="1"/>
  <c r="A72" i="7"/>
  <c r="A187" i="7" s="1"/>
  <c r="A71" i="7"/>
  <c r="A186" i="7" s="1"/>
  <c r="A70" i="7"/>
  <c r="A185" i="7" s="1"/>
  <c r="A69" i="7"/>
  <c r="A184" i="7" s="1"/>
  <c r="A68" i="7"/>
  <c r="A183" i="7" s="1"/>
  <c r="A67" i="7"/>
  <c r="A182" i="7" s="1"/>
  <c r="A66" i="7"/>
  <c r="A181" i="7" s="1"/>
  <c r="A65" i="7"/>
  <c r="A180" i="7" s="1"/>
  <c r="A64" i="7"/>
  <c r="A179" i="7" s="1"/>
  <c r="A63" i="7"/>
  <c r="A178" i="7" s="1"/>
  <c r="A62" i="7"/>
  <c r="A177" i="7" s="1"/>
  <c r="A61" i="7"/>
  <c r="A176" i="7" s="1"/>
  <c r="A60" i="7"/>
  <c r="A175" i="7" s="1"/>
  <c r="A59" i="7"/>
  <c r="A174" i="7" s="1"/>
  <c r="A58" i="7"/>
  <c r="A173" i="7" s="1"/>
  <c r="A57" i="7"/>
  <c r="A172" i="7" s="1"/>
  <c r="A56" i="7"/>
  <c r="A171" i="7" s="1"/>
  <c r="A55" i="7"/>
  <c r="A170" i="7" s="1"/>
  <c r="A54" i="7"/>
  <c r="A169" i="7" s="1"/>
  <c r="A53" i="7"/>
  <c r="A168" i="7" s="1"/>
  <c r="A52" i="7"/>
  <c r="A167" i="7" s="1"/>
  <c r="A51" i="7"/>
  <c r="A166" i="7" s="1"/>
  <c r="A50" i="7"/>
  <c r="A165" i="7" s="1"/>
  <c r="A49" i="7"/>
  <c r="A164" i="7" s="1"/>
  <c r="A48" i="7"/>
  <c r="A163" i="7" s="1"/>
  <c r="A47" i="7"/>
  <c r="A162" i="7" s="1"/>
  <c r="A46" i="7"/>
  <c r="A161" i="7" s="1"/>
  <c r="A45" i="7"/>
  <c r="A160" i="7" s="1"/>
  <c r="A43" i="7"/>
  <c r="A158" i="7" s="1"/>
  <c r="A42" i="7"/>
  <c r="A157" i="7" s="1"/>
  <c r="A41" i="7"/>
  <c r="A156" i="7" s="1"/>
  <c r="A40" i="7"/>
  <c r="A155" i="7" s="1"/>
  <c r="A39" i="7"/>
  <c r="A154" i="7" s="1"/>
  <c r="A38" i="7"/>
  <c r="A153" i="7" s="1"/>
  <c r="A37" i="7"/>
  <c r="A152" i="7" s="1"/>
  <c r="A36" i="7"/>
  <c r="A151" i="7" s="1"/>
  <c r="A35" i="7"/>
  <c r="A150" i="7" s="1"/>
  <c r="A27" i="7"/>
  <c r="A142" i="7" s="1"/>
  <c r="A24" i="7"/>
  <c r="A139" i="7" s="1"/>
  <c r="A23" i="7"/>
  <c r="A138" i="7" s="1"/>
  <c r="A22" i="7"/>
  <c r="A137" i="7" s="1"/>
  <c r="A136" i="7"/>
  <c r="A20" i="7"/>
  <c r="A135" i="7" s="1"/>
  <c r="A17" i="7"/>
  <c r="A132" i="7" s="1"/>
  <c r="A16" i="7"/>
  <c r="A131" i="7" s="1"/>
  <c r="A15" i="7"/>
  <c r="A130" i="7" s="1"/>
  <c r="A14" i="7"/>
  <c r="A129" i="7" s="1"/>
  <c r="A13" i="7"/>
  <c r="A128" i="7" s="1"/>
  <c r="A12" i="7"/>
  <c r="A127" i="7" s="1"/>
  <c r="A11" i="7"/>
  <c r="A126" i="7" s="1"/>
  <c r="A10" i="7"/>
  <c r="A125" i="7" s="1"/>
  <c r="A9" i="7"/>
  <c r="A124" i="7" s="1"/>
  <c r="A8" i="7"/>
  <c r="A49" i="4"/>
  <c r="F166" i="3"/>
  <c r="G166" i="3" s="1"/>
  <c r="F165" i="3"/>
  <c r="G165" i="3" s="1"/>
  <c r="F163" i="3"/>
  <c r="G163" i="3" s="1"/>
  <c r="F162" i="3"/>
  <c r="G162" i="3" s="1"/>
  <c r="F161" i="3"/>
  <c r="G161" i="3" s="1"/>
  <c r="F160" i="3"/>
  <c r="G160" i="3" s="1"/>
  <c r="F159" i="3"/>
  <c r="G159" i="3" s="1"/>
  <c r="F158" i="3"/>
  <c r="G158" i="3" s="1"/>
  <c r="F155" i="3"/>
  <c r="G155" i="3" s="1"/>
  <c r="B155" i="3"/>
  <c r="F154" i="3"/>
  <c r="G154" i="3" s="1"/>
  <c r="B154" i="3"/>
  <c r="F153" i="3"/>
  <c r="G153" i="3" s="1"/>
  <c r="B153" i="3"/>
  <c r="F152" i="3"/>
  <c r="G152" i="3" s="1"/>
  <c r="B152" i="3"/>
  <c r="F151" i="3"/>
  <c r="G151" i="3" s="1"/>
  <c r="B151" i="3"/>
  <c r="F150" i="3"/>
  <c r="G150" i="3" s="1"/>
  <c r="B150" i="3"/>
  <c r="F148" i="3"/>
  <c r="G148" i="3" s="1"/>
  <c r="F147" i="3"/>
  <c r="G147" i="3" s="1"/>
  <c r="F145" i="3"/>
  <c r="G145" i="3" s="1"/>
  <c r="B145" i="3"/>
  <c r="F144" i="3"/>
  <c r="G144" i="3" s="1"/>
  <c r="B144" i="3"/>
  <c r="F143" i="3"/>
  <c r="G143" i="3" s="1"/>
  <c r="B143" i="3"/>
  <c r="F142" i="3"/>
  <c r="B142" i="3"/>
  <c r="B141" i="3"/>
  <c r="F140" i="3"/>
  <c r="G140" i="3" s="1"/>
  <c r="B140" i="3"/>
  <c r="F139" i="3"/>
  <c r="G139" i="3" s="1"/>
  <c r="B139" i="3"/>
  <c r="F136" i="3"/>
  <c r="G136" i="3" s="1"/>
  <c r="F135" i="3"/>
  <c r="G135" i="3" s="1"/>
  <c r="F134" i="3"/>
  <c r="F133" i="3"/>
  <c r="G133" i="3" s="1"/>
  <c r="F131" i="3"/>
  <c r="G131" i="3" s="1"/>
  <c r="F125" i="3"/>
  <c r="G125" i="3" s="1"/>
  <c r="F124" i="3"/>
  <c r="G124" i="3" s="1"/>
  <c r="F122" i="3"/>
  <c r="G122" i="3" s="1"/>
  <c r="F121" i="3"/>
  <c r="G121" i="3" s="1"/>
  <c r="F120" i="3"/>
  <c r="G120" i="3" s="1"/>
  <c r="F118" i="3"/>
  <c r="G118" i="3" s="1"/>
  <c r="F117" i="3"/>
  <c r="G117" i="3" s="1"/>
  <c r="F116" i="3"/>
  <c r="G116" i="3" s="1"/>
  <c r="F114" i="3"/>
  <c r="G114" i="3" s="1"/>
  <c r="F113" i="3"/>
  <c r="G113" i="3" s="1"/>
  <c r="F112" i="3"/>
  <c r="G112" i="3" s="1"/>
  <c r="F111" i="3"/>
  <c r="G111" i="3" s="1"/>
  <c r="F109" i="3"/>
  <c r="G109" i="3" s="1"/>
  <c r="F108" i="3"/>
  <c r="G108" i="3" s="1"/>
  <c r="F107" i="3"/>
  <c r="G107" i="3" s="1"/>
  <c r="F106" i="3"/>
  <c r="G106" i="3" s="1"/>
  <c r="F105" i="3"/>
  <c r="G105" i="3" s="1"/>
  <c r="F104" i="3"/>
  <c r="G104" i="3" s="1"/>
  <c r="F103" i="3"/>
  <c r="G103" i="3" s="1"/>
  <c r="F102" i="3"/>
  <c r="G102" i="3" s="1"/>
  <c r="G101" i="3"/>
  <c r="B97" i="3"/>
  <c r="B96" i="3"/>
  <c r="B95" i="3"/>
  <c r="B94" i="3"/>
  <c r="B93" i="3"/>
  <c r="B92" i="3"/>
  <c r="B91" i="3"/>
  <c r="B90" i="3"/>
  <c r="B89" i="3"/>
  <c r="B88" i="3"/>
  <c r="B87" i="3"/>
  <c r="B86" i="3"/>
  <c r="B85" i="3"/>
  <c r="B84" i="3"/>
  <c r="B83" i="3"/>
  <c r="B82" i="3"/>
  <c r="B81" i="3"/>
  <c r="B80" i="3"/>
  <c r="B79" i="3"/>
  <c r="B78" i="3"/>
  <c r="B77" i="3"/>
  <c r="B76" i="3"/>
  <c r="B75" i="3"/>
  <c r="B74" i="3"/>
  <c r="B73" i="3"/>
  <c r="B72" i="3"/>
  <c r="B71" i="3"/>
  <c r="B70" i="3"/>
  <c r="B69" i="3"/>
  <c r="B68" i="3"/>
  <c r="B67" i="3"/>
  <c r="B66" i="3"/>
  <c r="B65" i="3"/>
  <c r="B64" i="3"/>
  <c r="B63" i="3"/>
  <c r="B62" i="3"/>
  <c r="B61" i="3"/>
  <c r="B60" i="3"/>
  <c r="B59" i="3"/>
  <c r="B58" i="3"/>
  <c r="B57" i="3"/>
  <c r="B56" i="3"/>
  <c r="B55" i="3"/>
  <c r="B54" i="3"/>
  <c r="B53" i="3"/>
  <c r="B52" i="3"/>
  <c r="B51" i="3"/>
  <c r="B50" i="3"/>
  <c r="B49" i="3"/>
  <c r="B48" i="3"/>
  <c r="B47" i="3"/>
  <c r="B46" i="3"/>
  <c r="B45" i="3"/>
  <c r="B44" i="3"/>
  <c r="B43" i="3"/>
  <c r="B42" i="3"/>
  <c r="B41" i="3"/>
  <c r="B40" i="3"/>
  <c r="B39" i="3"/>
  <c r="B38" i="3"/>
  <c r="B37" i="3"/>
  <c r="B36" i="3"/>
  <c r="B35" i="3"/>
  <c r="B34" i="3"/>
  <c r="B33" i="3"/>
  <c r="B32" i="3"/>
  <c r="B31" i="3"/>
  <c r="B30" i="3"/>
  <c r="B29" i="3"/>
  <c r="B28" i="3"/>
  <c r="B27" i="3"/>
  <c r="B26" i="3"/>
  <c r="B25" i="3"/>
  <c r="B24" i="3"/>
  <c r="B23" i="3"/>
  <c r="B22" i="3"/>
  <c r="B21" i="3"/>
  <c r="B20" i="3"/>
  <c r="B19" i="3"/>
  <c r="B18" i="3"/>
  <c r="B17" i="3"/>
  <c r="B16" i="3"/>
  <c r="B15" i="3"/>
  <c r="B14" i="3"/>
  <c r="B13" i="3"/>
  <c r="B12" i="3"/>
  <c r="B11" i="3"/>
  <c r="B10" i="3"/>
  <c r="B9" i="3"/>
  <c r="B8" i="3"/>
  <c r="B7" i="3"/>
  <c r="B6" i="3"/>
  <c r="B5" i="3"/>
  <c r="B4" i="3"/>
  <c r="B3" i="3"/>
  <c r="J66" i="9" l="1"/>
  <c r="I116" i="9"/>
  <c r="I123" i="9"/>
  <c r="I74" i="9"/>
  <c r="I83" i="9"/>
  <c r="I49" i="9"/>
  <c r="I107" i="9"/>
  <c r="I91" i="9"/>
  <c r="I98" i="9"/>
  <c r="I60" i="9"/>
  <c r="I40" i="9"/>
  <c r="I66" i="9"/>
  <c r="I28" i="9"/>
  <c r="X28" i="13"/>
  <c r="F203" i="12"/>
  <c r="B204" i="29"/>
  <c r="Q15" i="13"/>
  <c r="X15" i="13" s="1"/>
  <c r="X24" i="13"/>
  <c r="F208" i="12"/>
  <c r="F18" i="17"/>
  <c r="F21" i="21"/>
  <c r="F11" i="21"/>
  <c r="F205" i="12"/>
  <c r="B205" i="29"/>
  <c r="F212" i="12"/>
  <c r="F39" i="24"/>
  <c r="F24" i="24"/>
  <c r="F19" i="25"/>
  <c r="F29" i="25" s="1"/>
  <c r="F16" i="24"/>
  <c r="G50" i="16"/>
  <c r="F23" i="20"/>
  <c r="F20" i="15"/>
  <c r="F11" i="15"/>
  <c r="G134" i="3"/>
  <c r="F24" i="14"/>
  <c r="F18" i="14"/>
  <c r="Q14" i="13"/>
  <c r="X14" i="13" s="1"/>
  <c r="F207" i="28"/>
  <c r="G19" i="23"/>
  <c r="G37" i="23" s="1"/>
  <c r="F16" i="22"/>
  <c r="F216" i="28"/>
  <c r="G75" i="16"/>
  <c r="F24" i="17"/>
  <c r="F10" i="20"/>
  <c r="F46" i="20"/>
  <c r="F30" i="20"/>
  <c r="F38" i="20"/>
  <c r="G34" i="23"/>
  <c r="G71" i="16"/>
  <c r="G43" i="16"/>
  <c r="G30" i="16"/>
  <c r="G14" i="16"/>
  <c r="G60" i="16"/>
  <c r="X23" i="13"/>
  <c r="X17" i="13"/>
  <c r="X22" i="13"/>
  <c r="X25" i="13"/>
  <c r="X10" i="13"/>
  <c r="X16" i="13"/>
  <c r="X9" i="13"/>
  <c r="X11" i="13"/>
  <c r="X18" i="13"/>
  <c r="I180" i="27"/>
  <c r="I383" i="27"/>
  <c r="C3" i="3"/>
  <c r="E123" i="7"/>
  <c r="G167" i="3"/>
  <c r="A123" i="7"/>
  <c r="F36" i="14"/>
  <c r="X26" i="13"/>
  <c r="D214" i="12"/>
  <c r="F214" i="12" s="1"/>
  <c r="I179" i="27"/>
  <c r="X19" i="13" l="1"/>
  <c r="B207" i="29"/>
  <c r="B208" i="29" s="1"/>
  <c r="F329" i="12"/>
  <c r="B293" i="29"/>
  <c r="B294" i="29" s="1"/>
  <c r="B327" i="29"/>
  <c r="B277" i="29"/>
  <c r="G214" i="12"/>
  <c r="F56" i="20"/>
  <c r="F40" i="24"/>
  <c r="F24" i="15"/>
  <c r="F37" i="14"/>
  <c r="D326" i="28"/>
  <c r="D327" i="28" s="1"/>
  <c r="F326" i="28"/>
  <c r="D123" i="7"/>
  <c r="D28" i="3"/>
  <c r="D24" i="3"/>
  <c r="D31" i="3"/>
  <c r="D32" i="3"/>
  <c r="D20" i="3"/>
  <c r="G76" i="16"/>
  <c r="X30" i="13"/>
  <c r="D4" i="3"/>
  <c r="D12" i="3"/>
  <c r="D16" i="3"/>
  <c r="D8" i="3"/>
  <c r="D46" i="3"/>
  <c r="D27" i="3"/>
  <c r="D23" i="3"/>
  <c r="C30" i="3"/>
  <c r="C6" i="3"/>
  <c r="E16" i="3"/>
  <c r="E4" i="3"/>
  <c r="C13" i="3"/>
  <c r="E59" i="3"/>
  <c r="C11" i="3"/>
  <c r="E31" i="3"/>
  <c r="D7" i="3"/>
  <c r="D38" i="3"/>
  <c r="E19" i="3"/>
  <c r="E11" i="3"/>
  <c r="E3" i="3"/>
  <c r="E61" i="3"/>
  <c r="E55" i="3"/>
  <c r="E49" i="3"/>
  <c r="E45" i="3"/>
  <c r="E37" i="3"/>
  <c r="E29" i="3"/>
  <c r="D29" i="3"/>
  <c r="D21" i="3"/>
  <c r="D13" i="3"/>
  <c r="D5" i="3"/>
  <c r="D39" i="3"/>
  <c r="D35" i="3"/>
  <c r="C36" i="3"/>
  <c r="C17" i="3"/>
  <c r="D34" i="3"/>
  <c r="D26" i="3"/>
  <c r="D18" i="3"/>
  <c r="D10" i="3"/>
  <c r="E65" i="3"/>
  <c r="E58" i="3"/>
  <c r="E54" i="3"/>
  <c r="E50" i="3"/>
  <c r="E46" i="3"/>
  <c r="E42" i="3"/>
  <c r="E38" i="3"/>
  <c r="E34" i="3"/>
  <c r="E30" i="3"/>
  <c r="E26" i="3"/>
  <c r="E22" i="3"/>
  <c r="C39" i="3"/>
  <c r="C38" i="3"/>
  <c r="C20" i="3"/>
  <c r="C12" i="3"/>
  <c r="C4" i="3"/>
  <c r="C22" i="3"/>
  <c r="E12" i="3"/>
  <c r="E43" i="3"/>
  <c r="C27" i="3"/>
  <c r="D3" i="3"/>
  <c r="C24" i="3"/>
  <c r="E15" i="3"/>
  <c r="E7" i="3"/>
  <c r="C34" i="3"/>
  <c r="C26" i="3"/>
  <c r="C18" i="3"/>
  <c r="C10" i="3"/>
  <c r="E18" i="3"/>
  <c r="E14" i="3"/>
  <c r="E10" i="3"/>
  <c r="E6" i="3"/>
  <c r="C35" i="3"/>
  <c r="C29" i="3"/>
  <c r="C21" i="3"/>
  <c r="E51" i="3"/>
  <c r="E41" i="3"/>
  <c r="E23" i="3"/>
  <c r="C31" i="3"/>
  <c r="C23" i="3"/>
  <c r="C15" i="3"/>
  <c r="C7" i="3"/>
  <c r="E33" i="3"/>
  <c r="E21" i="3"/>
  <c r="C32" i="3"/>
  <c r="D19" i="3"/>
  <c r="D11" i="3"/>
  <c r="D40" i="3"/>
  <c r="D36" i="3"/>
  <c r="E17" i="3"/>
  <c r="E13" i="3"/>
  <c r="E9" i="3"/>
  <c r="E5" i="3"/>
  <c r="E57" i="3"/>
  <c r="E53" i="3"/>
  <c r="E47" i="3"/>
  <c r="E39" i="3"/>
  <c r="E35" i="3"/>
  <c r="E27" i="3"/>
  <c r="C14" i="3"/>
  <c r="E8" i="3"/>
  <c r="C37" i="3"/>
  <c r="C5" i="3"/>
  <c r="E25" i="3"/>
  <c r="C19" i="3"/>
  <c r="D15" i="3"/>
  <c r="D329" i="12"/>
  <c r="D330" i="12" s="1"/>
  <c r="D33" i="3"/>
  <c r="D25" i="3"/>
  <c r="D17" i="3"/>
  <c r="D9" i="3"/>
  <c r="D37" i="3"/>
  <c r="C33" i="3"/>
  <c r="C25" i="3"/>
  <c r="C9" i="3"/>
  <c r="D30" i="3"/>
  <c r="D22" i="3"/>
  <c r="D14" i="3"/>
  <c r="D6" i="3"/>
  <c r="E60" i="3"/>
  <c r="E56" i="3"/>
  <c r="E52" i="3"/>
  <c r="E48" i="3"/>
  <c r="E44" i="3"/>
  <c r="E40" i="3"/>
  <c r="E36" i="3"/>
  <c r="E32" i="3"/>
  <c r="E28" i="3"/>
  <c r="E24" i="3"/>
  <c r="E20" i="3"/>
  <c r="C28" i="3"/>
  <c r="C16" i="3"/>
  <c r="C8" i="3"/>
  <c r="D41" i="3"/>
  <c r="B346" i="29" l="1"/>
  <c r="B348" i="29" s="1"/>
  <c r="B329" i="29"/>
  <c r="Y30" i="13"/>
  <c r="D42" i="3"/>
  <c r="E63" i="3"/>
  <c r="E64" i="3"/>
  <c r="E62" i="3"/>
  <c r="E354" i="12"/>
  <c r="E355" i="12" s="1"/>
  <c r="E348" i="12"/>
  <c r="E351" i="12"/>
  <c r="E347" i="12"/>
  <c r="E350" i="12"/>
  <c r="E346" i="12"/>
  <c r="E349" i="12"/>
  <c r="E345" i="12"/>
  <c r="D49" i="3"/>
  <c r="D43" i="3"/>
  <c r="E66" i="3"/>
  <c r="D45" i="3"/>
  <c r="D48" i="3"/>
  <c r="D47" i="3"/>
  <c r="D44" i="3"/>
  <c r="C40" i="3"/>
  <c r="C41" i="3" l="1"/>
  <c r="D50" i="3"/>
  <c r="E67" i="3"/>
  <c r="E356" i="12"/>
  <c r="E68" i="3" l="1"/>
  <c r="C42" i="3"/>
  <c r="D51" i="3"/>
  <c r="C43" i="3" l="1"/>
  <c r="E69" i="3"/>
  <c r="D52" i="3"/>
  <c r="D53" i="3" l="1"/>
  <c r="E70" i="3"/>
  <c r="C44" i="3"/>
  <c r="E71" i="3" l="1"/>
  <c r="C45" i="3"/>
  <c r="D54" i="3"/>
  <c r="C46" i="3" l="1"/>
  <c r="D55" i="3"/>
  <c r="E72" i="3"/>
  <c r="C47" i="3" l="1"/>
  <c r="D56" i="3"/>
  <c r="E73" i="3"/>
  <c r="C48" i="3" l="1"/>
  <c r="D57" i="3"/>
  <c r="E74" i="3"/>
  <c r="E75" i="3" l="1"/>
  <c r="C49" i="3"/>
  <c r="D58" i="3"/>
  <c r="D59" i="3" l="1"/>
  <c r="E76" i="3"/>
  <c r="C50" i="3"/>
  <c r="D61" i="3" l="1"/>
  <c r="E77" i="3"/>
  <c r="D60" i="3"/>
  <c r="C51" i="3"/>
  <c r="E78" i="3" l="1"/>
  <c r="C52" i="3"/>
  <c r="D62" i="3"/>
  <c r="E79" i="3" l="1"/>
  <c r="D63" i="3"/>
  <c r="C53" i="3"/>
  <c r="C54" i="3" l="1"/>
  <c r="D64" i="3"/>
  <c r="E80" i="3"/>
  <c r="D65" i="3" l="1"/>
  <c r="E81" i="3"/>
  <c r="D66" i="3"/>
  <c r="C55" i="3"/>
  <c r="C56" i="3" l="1"/>
  <c r="E82" i="3"/>
  <c r="D67" i="3"/>
  <c r="C57" i="3" l="1"/>
  <c r="D68" i="3"/>
  <c r="E83" i="3"/>
  <c r="E84" i="3" l="1"/>
  <c r="D69" i="3"/>
  <c r="C58" i="3"/>
  <c r="C59" i="3" l="1"/>
  <c r="E85" i="3"/>
  <c r="D70" i="3"/>
  <c r="C61" i="3" l="1"/>
  <c r="D71" i="3"/>
  <c r="E86" i="3"/>
  <c r="C60" i="3"/>
  <c r="E87" i="3" l="1"/>
  <c r="D72" i="3"/>
  <c r="C62" i="3"/>
  <c r="E88" i="3" l="1"/>
  <c r="C63" i="3"/>
  <c r="D73" i="3"/>
  <c r="C64" i="3" l="1"/>
  <c r="D74" i="3"/>
  <c r="E89" i="3"/>
  <c r="C65" i="3" l="1"/>
  <c r="C66" i="3"/>
  <c r="E90" i="3"/>
  <c r="D75" i="3"/>
  <c r="C67" i="3" l="1"/>
  <c r="D76" i="3"/>
  <c r="E91" i="3"/>
  <c r="C68" i="3" l="1"/>
  <c r="E92" i="3"/>
  <c r="D77" i="3"/>
  <c r="C69" i="3" l="1"/>
  <c r="E93" i="3"/>
  <c r="D78" i="3"/>
  <c r="D79" i="3" l="1"/>
  <c r="C70" i="3"/>
  <c r="E94" i="3"/>
  <c r="E95" i="3" l="1"/>
  <c r="C71" i="3"/>
  <c r="D80" i="3"/>
  <c r="C72" i="3" l="1"/>
  <c r="D81" i="3"/>
  <c r="E96" i="3"/>
  <c r="D82" i="3" l="1"/>
  <c r="C73" i="3"/>
  <c r="E97" i="3"/>
  <c r="D83" i="3" l="1"/>
  <c r="C74" i="3"/>
  <c r="C75" i="3" l="1"/>
  <c r="D84" i="3"/>
  <c r="D85" i="3" l="1"/>
  <c r="C76" i="3"/>
  <c r="C77" i="3" l="1"/>
  <c r="D86" i="3"/>
  <c r="D87" i="3" l="1"/>
  <c r="C78" i="3"/>
  <c r="C79" i="3" l="1"/>
  <c r="D88" i="3"/>
  <c r="C80" i="3" l="1"/>
  <c r="D89" i="3"/>
  <c r="D90" i="3" l="1"/>
  <c r="C81" i="3"/>
  <c r="C82" i="3" l="1"/>
  <c r="D91" i="3"/>
  <c r="D92" i="3" l="1"/>
  <c r="C83" i="3"/>
  <c r="C84" i="3" l="1"/>
  <c r="D93" i="3"/>
  <c r="C85" i="3" l="1"/>
  <c r="D94" i="3"/>
  <c r="D95" i="3" l="1"/>
  <c r="C86" i="3"/>
  <c r="D96" i="3" l="1"/>
  <c r="C87" i="3"/>
  <c r="N5" i="4" l="1"/>
  <c r="E5" i="4" s="1"/>
  <c r="E5" i="6" s="1"/>
  <c r="E124" i="7" s="1"/>
  <c r="E8" i="7"/>
  <c r="D97" i="3"/>
  <c r="C88" i="3"/>
  <c r="N6" i="4" l="1"/>
  <c r="E6" i="4" s="1"/>
  <c r="E6" i="6" s="1"/>
  <c r="E125" i="7" s="1"/>
  <c r="E9" i="7"/>
  <c r="C89" i="3"/>
  <c r="N7" i="4" l="1"/>
  <c r="E7" i="4" s="1"/>
  <c r="E7" i="6" s="1"/>
  <c r="E126" i="7" s="1"/>
  <c r="E10" i="7"/>
  <c r="C90" i="3"/>
  <c r="N8" i="4" l="1"/>
  <c r="E8" i="4" s="1"/>
  <c r="E8" i="6" s="1"/>
  <c r="E127" i="7" s="1"/>
  <c r="E11" i="7"/>
  <c r="C91" i="3"/>
  <c r="N9" i="4" l="1"/>
  <c r="E9" i="4" s="1"/>
  <c r="E9" i="6" s="1"/>
  <c r="E128" i="7" s="1"/>
  <c r="E12" i="7"/>
  <c r="C92" i="3"/>
  <c r="N10" i="4" l="1"/>
  <c r="E10" i="4" s="1"/>
  <c r="E10" i="6" s="1"/>
  <c r="E129" i="7" s="1"/>
  <c r="E13" i="7"/>
  <c r="C93" i="3"/>
  <c r="N11" i="4" l="1"/>
  <c r="E11" i="4" s="1"/>
  <c r="E11" i="6" s="1"/>
  <c r="E130" i="7" s="1"/>
  <c r="E14" i="7"/>
  <c r="C94" i="3"/>
  <c r="N12" i="4" l="1"/>
  <c r="E15" i="7"/>
  <c r="C95" i="3"/>
  <c r="E12" i="4" l="1"/>
  <c r="E12" i="6" s="1"/>
  <c r="E131" i="7" s="1"/>
  <c r="N13" i="4"/>
  <c r="C97" i="3"/>
  <c r="C96" i="3"/>
  <c r="E16" i="7" l="1"/>
  <c r="N14" i="4"/>
  <c r="E13" i="4"/>
  <c r="E13" i="6" s="1"/>
  <c r="E14" i="4" l="1"/>
  <c r="E14" i="6" s="1"/>
  <c r="E132" i="7" s="1"/>
  <c r="N15" i="4"/>
  <c r="E15" i="4" s="1"/>
  <c r="E15" i="6" s="1"/>
  <c r="E17" i="7"/>
  <c r="N16" i="4"/>
  <c r="E16" i="4" s="1"/>
  <c r="E16" i="6" s="1"/>
  <c r="N17" i="4" l="1"/>
  <c r="E17" i="4" s="1"/>
  <c r="E17" i="6" s="1"/>
  <c r="E135" i="7" s="1"/>
  <c r="E20" i="7" l="1"/>
  <c r="N18" i="4"/>
  <c r="E18" i="4" s="1"/>
  <c r="E18" i="6" s="1"/>
  <c r="E136" i="7" s="1"/>
  <c r="E21" i="7" l="1"/>
  <c r="N19" i="4"/>
  <c r="E19" i="4" s="1"/>
  <c r="E19" i="6" s="1"/>
  <c r="E137" i="7" s="1"/>
  <c r="E22" i="7" l="1"/>
  <c r="N20" i="4"/>
  <c r="E20" i="4" s="1"/>
  <c r="E20" i="6" s="1"/>
  <c r="E138" i="7" s="1"/>
  <c r="B123" i="7"/>
  <c r="M5" i="4"/>
  <c r="E23" i="7" l="1"/>
  <c r="N21" i="4"/>
  <c r="E21" i="4" s="1"/>
  <c r="E21" i="6" s="1"/>
  <c r="E139" i="7" s="1"/>
  <c r="N22" i="4"/>
  <c r="D5" i="4"/>
  <c r="M6" i="4"/>
  <c r="D6" i="4" s="1"/>
  <c r="D6" i="6" s="1"/>
  <c r="D8" i="7"/>
  <c r="B124" i="7"/>
  <c r="E24" i="7" l="1"/>
  <c r="N23" i="4"/>
  <c r="N24" i="4" s="1"/>
  <c r="N25" i="4" s="1"/>
  <c r="E22" i="4"/>
  <c r="E23" i="4"/>
  <c r="E23" i="6" s="1"/>
  <c r="E141" i="7" s="1"/>
  <c r="F6" i="6"/>
  <c r="D125" i="7"/>
  <c r="D9" i="7"/>
  <c r="D5" i="6"/>
  <c r="B141" i="7"/>
  <c r="M7" i="4"/>
  <c r="D7" i="4" s="1"/>
  <c r="D7" i="6" s="1"/>
  <c r="D10" i="7"/>
  <c r="B125" i="7"/>
  <c r="E24" i="4" l="1"/>
  <c r="E24" i="6" s="1"/>
  <c r="E142" i="7" s="1"/>
  <c r="E22" i="6"/>
  <c r="E140" i="7" s="1"/>
  <c r="E25" i="7"/>
  <c r="E26" i="7"/>
  <c r="N26" i="4"/>
  <c r="E26" i="4" s="1"/>
  <c r="E26" i="6" s="1"/>
  <c r="E144" i="7" s="1"/>
  <c r="E25" i="4"/>
  <c r="F5" i="6"/>
  <c r="D124" i="7"/>
  <c r="F7" i="6"/>
  <c r="D126" i="7"/>
  <c r="B142" i="7"/>
  <c r="M8" i="4"/>
  <c r="D8" i="4" s="1"/>
  <c r="D8" i="6" s="1"/>
  <c r="D11" i="7"/>
  <c r="B126" i="7"/>
  <c r="J5" i="4"/>
  <c r="B5" i="4" s="1"/>
  <c r="E27" i="7" l="1"/>
  <c r="E25" i="6"/>
  <c r="E143" i="7" s="1"/>
  <c r="E28" i="7"/>
  <c r="F8" i="6"/>
  <c r="D127" i="7"/>
  <c r="B144" i="7"/>
  <c r="E29" i="7"/>
  <c r="N27" i="4"/>
  <c r="M9" i="4"/>
  <c r="D9" i="4" s="1"/>
  <c r="D9" i="6" s="1"/>
  <c r="D12" i="7"/>
  <c r="B127" i="7"/>
  <c r="B8" i="7"/>
  <c r="J6" i="4"/>
  <c r="B6" i="4" s="1"/>
  <c r="E27" i="4" l="1"/>
  <c r="E27" i="6" s="1"/>
  <c r="E145" i="7" s="1"/>
  <c r="N28" i="4"/>
  <c r="F9" i="6"/>
  <c r="D128" i="7"/>
  <c r="B145" i="7"/>
  <c r="M10" i="4"/>
  <c r="D10" i="4" s="1"/>
  <c r="D10" i="6" s="1"/>
  <c r="D13" i="7"/>
  <c r="J7" i="4"/>
  <c r="B7" i="4" s="1"/>
  <c r="B128" i="7"/>
  <c r="B9" i="7"/>
  <c r="E30" i="7" l="1"/>
  <c r="N29" i="4"/>
  <c r="E28" i="4"/>
  <c r="F10" i="6"/>
  <c r="D129" i="7"/>
  <c r="M11" i="4"/>
  <c r="D11" i="4" s="1"/>
  <c r="D11" i="6" s="1"/>
  <c r="D14" i="7"/>
  <c r="B129" i="7"/>
  <c r="B10" i="7"/>
  <c r="J8" i="4"/>
  <c r="B8" i="4" s="1"/>
  <c r="E31" i="7" l="1"/>
  <c r="E28" i="6"/>
  <c r="E146" i="7" s="1"/>
  <c r="N30" i="4"/>
  <c r="E29" i="4"/>
  <c r="F11" i="6"/>
  <c r="D130" i="7"/>
  <c r="M12" i="4"/>
  <c r="D15" i="7"/>
  <c r="B130" i="7"/>
  <c r="B11" i="7"/>
  <c r="J9" i="4"/>
  <c r="B9" i="4" s="1"/>
  <c r="D12" i="4" l="1"/>
  <c r="D12" i="6" s="1"/>
  <c r="F12" i="6" s="1"/>
  <c r="M13" i="4"/>
  <c r="E32" i="7"/>
  <c r="E29" i="6"/>
  <c r="E147" i="7" s="1"/>
  <c r="N31" i="4"/>
  <c r="E30" i="4"/>
  <c r="D16" i="7"/>
  <c r="B131" i="7"/>
  <c r="B12" i="7"/>
  <c r="J10" i="4"/>
  <c r="B10" i="4" s="1"/>
  <c r="D131" i="7" l="1"/>
  <c r="M14" i="4"/>
  <c r="D13" i="4"/>
  <c r="D13" i="6" s="1"/>
  <c r="F13" i="6" s="1"/>
  <c r="E33" i="7"/>
  <c r="E30" i="6"/>
  <c r="E148" i="7" s="1"/>
  <c r="E31" i="4"/>
  <c r="N32" i="4"/>
  <c r="M16" i="4"/>
  <c r="D16" i="4" s="1"/>
  <c r="D16" i="6" s="1"/>
  <c r="J11" i="4"/>
  <c r="B11" i="4" s="1"/>
  <c r="B13" i="7"/>
  <c r="B132" i="7"/>
  <c r="D14" i="4" l="1"/>
  <c r="M15" i="4"/>
  <c r="D15" i="4" s="1"/>
  <c r="D15" i="6" s="1"/>
  <c r="F15" i="6" s="1"/>
  <c r="E31" i="6"/>
  <c r="E149" i="7" s="1"/>
  <c r="E34" i="7"/>
  <c r="E32" i="4"/>
  <c r="N33" i="4"/>
  <c r="F16" i="6"/>
  <c r="M17" i="4"/>
  <c r="D17" i="4" s="1"/>
  <c r="D17" i="6" s="1"/>
  <c r="B14" i="7"/>
  <c r="J12" i="4"/>
  <c r="J13" i="4" l="1"/>
  <c r="B13" i="4" s="1"/>
  <c r="B12" i="4"/>
  <c r="D14" i="6"/>
  <c r="D17" i="7"/>
  <c r="J14" i="4"/>
  <c r="E33" i="4"/>
  <c r="N34" i="4"/>
  <c r="E32" i="6"/>
  <c r="E150" i="7" s="1"/>
  <c r="E35" i="7"/>
  <c r="F17" i="6"/>
  <c r="D135" i="7"/>
  <c r="M18" i="4"/>
  <c r="D18" i="4" s="1"/>
  <c r="D18" i="6" s="1"/>
  <c r="D20" i="7"/>
  <c r="B135" i="7"/>
  <c r="B15" i="7"/>
  <c r="J15" i="4" l="1"/>
  <c r="B15" i="4" s="1"/>
  <c r="B14" i="4"/>
  <c r="F14" i="6"/>
  <c r="D132" i="7"/>
  <c r="E34" i="4"/>
  <c r="N35" i="4"/>
  <c r="E33" i="6"/>
  <c r="E151" i="7" s="1"/>
  <c r="E36" i="7"/>
  <c r="F18" i="6"/>
  <c r="D136" i="7"/>
  <c r="M19" i="4"/>
  <c r="D19" i="4" s="1"/>
  <c r="D19" i="6" s="1"/>
  <c r="D21" i="7"/>
  <c r="B136" i="7"/>
  <c r="B16" i="7"/>
  <c r="J16" i="4"/>
  <c r="B16" i="4" s="1"/>
  <c r="E35" i="4" l="1"/>
  <c r="N36" i="4"/>
  <c r="E34" i="6"/>
  <c r="E152" i="7" s="1"/>
  <c r="E37" i="7"/>
  <c r="F19" i="6"/>
  <c r="D137" i="7"/>
  <c r="M20" i="4"/>
  <c r="D20" i="4" s="1"/>
  <c r="D20" i="6" s="1"/>
  <c r="D22" i="7"/>
  <c r="J17" i="4"/>
  <c r="B17" i="4" s="1"/>
  <c r="B17" i="7"/>
  <c r="B137" i="7"/>
  <c r="E36" i="4" l="1"/>
  <c r="N37" i="4"/>
  <c r="E35" i="6"/>
  <c r="E153" i="7" s="1"/>
  <c r="E38" i="7"/>
  <c r="F20" i="6"/>
  <c r="D138" i="7"/>
  <c r="D23" i="7"/>
  <c r="M21" i="4"/>
  <c r="B138" i="7"/>
  <c r="J18" i="4"/>
  <c r="B18" i="4" s="1"/>
  <c r="E37" i="4" l="1"/>
  <c r="N38" i="4"/>
  <c r="E36" i="6"/>
  <c r="E154" i="7" s="1"/>
  <c r="E39" i="7"/>
  <c r="D21" i="4"/>
  <c r="D21" i="6" s="1"/>
  <c r="F21" i="6" s="1"/>
  <c r="M22" i="4"/>
  <c r="B139" i="7"/>
  <c r="J19" i="4"/>
  <c r="B19" i="4" s="1"/>
  <c r="B20" i="7"/>
  <c r="D139" i="7" l="1"/>
  <c r="D24" i="7"/>
  <c r="E38" i="4"/>
  <c r="N39" i="4"/>
  <c r="E37" i="6"/>
  <c r="E155" i="7" s="1"/>
  <c r="E40" i="7"/>
  <c r="M23" i="4"/>
  <c r="M24" i="4" s="1"/>
  <c r="M25" i="4" s="1"/>
  <c r="D22" i="4"/>
  <c r="B21" i="7"/>
  <c r="J20" i="4"/>
  <c r="J21" i="4" l="1"/>
  <c r="B20" i="4"/>
  <c r="D23" i="4"/>
  <c r="D23" i="6" s="1"/>
  <c r="F23" i="6" s="1"/>
  <c r="E39" i="4"/>
  <c r="N40" i="4"/>
  <c r="E38" i="6"/>
  <c r="E156" i="7" s="1"/>
  <c r="E41" i="7"/>
  <c r="D22" i="6"/>
  <c r="D25" i="7"/>
  <c r="D24" i="4"/>
  <c r="D24" i="6" s="1"/>
  <c r="F24" i="6" s="1"/>
  <c r="D26" i="7"/>
  <c r="M26" i="4"/>
  <c r="D26" i="4" s="1"/>
  <c r="D26" i="6" s="1"/>
  <c r="D25" i="4"/>
  <c r="B22" i="7"/>
  <c r="D141" i="7" l="1"/>
  <c r="J22" i="4"/>
  <c r="B21" i="4"/>
  <c r="D27" i="7"/>
  <c r="D142" i="7"/>
  <c r="E40" i="4"/>
  <c r="N51" i="4"/>
  <c r="E39" i="6"/>
  <c r="E157" i="7" s="1"/>
  <c r="E42" i="7"/>
  <c r="D140" i="7"/>
  <c r="F22" i="6"/>
  <c r="D25" i="6"/>
  <c r="D28" i="7"/>
  <c r="F26" i="6"/>
  <c r="D144" i="7"/>
  <c r="D29" i="7"/>
  <c r="M27" i="4"/>
  <c r="B150" i="7"/>
  <c r="B23" i="7"/>
  <c r="B22" i="4" l="1"/>
  <c r="B25" i="7" s="1"/>
  <c r="J23" i="4"/>
  <c r="E40" i="6"/>
  <c r="E158" i="7" s="1"/>
  <c r="E43" i="7"/>
  <c r="E51" i="4"/>
  <c r="N52" i="4"/>
  <c r="D27" i="4"/>
  <c r="D27" i="6" s="1"/>
  <c r="F27" i="6" s="1"/>
  <c r="M28" i="4"/>
  <c r="D143" i="7"/>
  <c r="F25" i="6"/>
  <c r="B151" i="7"/>
  <c r="B24" i="7"/>
  <c r="B23" i="4" l="1"/>
  <c r="B26" i="7" s="1"/>
  <c r="J24" i="4"/>
  <c r="D30" i="7"/>
  <c r="D145" i="7"/>
  <c r="E52" i="4"/>
  <c r="N53" i="4"/>
  <c r="M29" i="4"/>
  <c r="D28" i="4"/>
  <c r="E51" i="6"/>
  <c r="E160" i="7" s="1"/>
  <c r="E45" i="7"/>
  <c r="B152" i="7"/>
  <c r="J25" i="4" l="1"/>
  <c r="B24" i="4"/>
  <c r="B27" i="7" s="1"/>
  <c r="D28" i="6"/>
  <c r="D31" i="7"/>
  <c r="M30" i="4"/>
  <c r="D29" i="4"/>
  <c r="E53" i="4"/>
  <c r="N54" i="4"/>
  <c r="E52" i="6"/>
  <c r="E161" i="7" s="1"/>
  <c r="E46" i="7"/>
  <c r="B153" i="7"/>
  <c r="B25" i="4" l="1"/>
  <c r="B28" i="7" s="1"/>
  <c r="J26" i="4"/>
  <c r="E54" i="4"/>
  <c r="N55" i="4"/>
  <c r="E53" i="6"/>
  <c r="E162" i="7" s="1"/>
  <c r="E47" i="7"/>
  <c r="D29" i="6"/>
  <c r="D32" i="7"/>
  <c r="M31" i="4"/>
  <c r="D30" i="4"/>
  <c r="D146" i="7"/>
  <c r="F28" i="6"/>
  <c r="B154" i="7"/>
  <c r="B26" i="4" l="1"/>
  <c r="B29" i="7" s="1"/>
  <c r="J27" i="4"/>
  <c r="D147" i="7"/>
  <c r="F29" i="6"/>
  <c r="D33" i="7"/>
  <c r="D30" i="6"/>
  <c r="E55" i="4"/>
  <c r="N56" i="4"/>
  <c r="D31" i="4"/>
  <c r="M32" i="4"/>
  <c r="E54" i="6"/>
  <c r="E163" i="7" s="1"/>
  <c r="E48" i="7"/>
  <c r="B155" i="7"/>
  <c r="J28" i="4" l="1"/>
  <c r="B27" i="4"/>
  <c r="B30" i="7" s="1"/>
  <c r="D32" i="4"/>
  <c r="M33" i="4"/>
  <c r="D31" i="6"/>
  <c r="D34" i="7"/>
  <c r="D148" i="7"/>
  <c r="F30" i="6"/>
  <c r="E56" i="4"/>
  <c r="N57" i="4"/>
  <c r="E55" i="6"/>
  <c r="E164" i="7" s="1"/>
  <c r="E49" i="7"/>
  <c r="B156" i="7"/>
  <c r="B28" i="4" l="1"/>
  <c r="B31" i="7" s="1"/>
  <c r="J29" i="4"/>
  <c r="E56" i="6"/>
  <c r="E165" i="7" s="1"/>
  <c r="E50" i="7"/>
  <c r="D149" i="7"/>
  <c r="F31" i="6"/>
  <c r="D33" i="4"/>
  <c r="M34" i="4"/>
  <c r="E57" i="4"/>
  <c r="N58" i="4"/>
  <c r="D32" i="6"/>
  <c r="D35" i="7"/>
  <c r="B157" i="7"/>
  <c r="B29" i="4" l="1"/>
  <c r="B32" i="7" s="1"/>
  <c r="J30" i="4"/>
  <c r="E58" i="4"/>
  <c r="N59" i="4"/>
  <c r="F32" i="6"/>
  <c r="D150" i="7"/>
  <c r="E57" i="6"/>
  <c r="E166" i="7" s="1"/>
  <c r="E51" i="7"/>
  <c r="D34" i="4"/>
  <c r="M35" i="4"/>
  <c r="D33" i="6"/>
  <c r="D36" i="7"/>
  <c r="B158" i="7"/>
  <c r="B30" i="4" l="1"/>
  <c r="B33" i="7" s="1"/>
  <c r="J31" i="4"/>
  <c r="D35" i="4"/>
  <c r="M36" i="4"/>
  <c r="F33" i="6"/>
  <c r="D151" i="7"/>
  <c r="D34" i="6"/>
  <c r="D37" i="7"/>
  <c r="E59" i="4"/>
  <c r="N60" i="4"/>
  <c r="E58" i="6"/>
  <c r="E167" i="7" s="1"/>
  <c r="E52" i="7"/>
  <c r="B160" i="7"/>
  <c r="B31" i="4" l="1"/>
  <c r="B34" i="7" s="1"/>
  <c r="J32" i="4"/>
  <c r="E60" i="4"/>
  <c r="N61" i="4"/>
  <c r="D36" i="4"/>
  <c r="M37" i="4"/>
  <c r="E59" i="6"/>
  <c r="E168" i="7" s="1"/>
  <c r="E53" i="7"/>
  <c r="D152" i="7"/>
  <c r="F34" i="6"/>
  <c r="D35" i="6"/>
  <c r="D38" i="7"/>
  <c r="B161" i="7"/>
  <c r="B32" i="4" l="1"/>
  <c r="B35" i="7" s="1"/>
  <c r="J33" i="4"/>
  <c r="E61" i="4"/>
  <c r="N62" i="4"/>
  <c r="E60" i="6"/>
  <c r="E169" i="7" s="1"/>
  <c r="E54" i="7"/>
  <c r="D37" i="4"/>
  <c r="M38" i="4"/>
  <c r="F35" i="6"/>
  <c r="D153" i="7"/>
  <c r="D36" i="6"/>
  <c r="D39" i="7"/>
  <c r="B162" i="7"/>
  <c r="B33" i="4" l="1"/>
  <c r="B36" i="7" s="1"/>
  <c r="J34" i="4"/>
  <c r="D38" i="4"/>
  <c r="M39" i="4"/>
  <c r="E62" i="4"/>
  <c r="N63" i="4"/>
  <c r="F36" i="6"/>
  <c r="D154" i="7"/>
  <c r="D37" i="6"/>
  <c r="D40" i="7"/>
  <c r="E61" i="6"/>
  <c r="E170" i="7" s="1"/>
  <c r="E55" i="7"/>
  <c r="B163" i="7"/>
  <c r="B34" i="4" l="1"/>
  <c r="B37" i="7" s="1"/>
  <c r="J35" i="4"/>
  <c r="E62" i="6"/>
  <c r="E171" i="7" s="1"/>
  <c r="E56" i="7"/>
  <c r="D39" i="4"/>
  <c r="M40" i="4"/>
  <c r="E63" i="4"/>
  <c r="N64" i="4"/>
  <c r="F37" i="6"/>
  <c r="D155" i="7"/>
  <c r="D38" i="6"/>
  <c r="D41" i="7"/>
  <c r="B164" i="7"/>
  <c r="B35" i="4" l="1"/>
  <c r="B38" i="7" s="1"/>
  <c r="J36" i="4"/>
  <c r="F38" i="6"/>
  <c r="D156" i="7"/>
  <c r="D39" i="6"/>
  <c r="D42" i="7"/>
  <c r="E64" i="4"/>
  <c r="N65" i="4"/>
  <c r="D40" i="4"/>
  <c r="M51" i="4"/>
  <c r="E63" i="6"/>
  <c r="E172" i="7" s="1"/>
  <c r="E57" i="7"/>
  <c r="B165" i="7"/>
  <c r="B36" i="4" l="1"/>
  <c r="B39" i="7" s="1"/>
  <c r="J37" i="4"/>
  <c r="F39" i="6"/>
  <c r="D157" i="7"/>
  <c r="D51" i="4"/>
  <c r="M52" i="4"/>
  <c r="E65" i="4"/>
  <c r="N66" i="4"/>
  <c r="D40" i="6"/>
  <c r="D43" i="7"/>
  <c r="E64" i="6"/>
  <c r="E173" i="7" s="1"/>
  <c r="E58" i="7"/>
  <c r="B166" i="7"/>
  <c r="B37" i="4" l="1"/>
  <c r="B40" i="7" s="1"/>
  <c r="J38" i="4"/>
  <c r="E65" i="6"/>
  <c r="E174" i="7" s="1"/>
  <c r="E59" i="7"/>
  <c r="D52" i="4"/>
  <c r="M53" i="4"/>
  <c r="E66" i="4"/>
  <c r="N67" i="4"/>
  <c r="F40" i="6"/>
  <c r="D158" i="7"/>
  <c r="D51" i="6"/>
  <c r="D45" i="7"/>
  <c r="B167" i="7"/>
  <c r="B38" i="4" l="1"/>
  <c r="B41" i="7" s="1"/>
  <c r="J39" i="4"/>
  <c r="F51" i="6"/>
  <c r="D160" i="7"/>
  <c r="D52" i="6"/>
  <c r="D46" i="7"/>
  <c r="E67" i="4"/>
  <c r="N68" i="4"/>
  <c r="D53" i="4"/>
  <c r="M54" i="4"/>
  <c r="E66" i="6"/>
  <c r="E175" i="7" s="1"/>
  <c r="E60" i="7"/>
  <c r="B168" i="7"/>
  <c r="B39" i="4" l="1"/>
  <c r="B42" i="7" s="1"/>
  <c r="J40" i="4"/>
  <c r="D53" i="6"/>
  <c r="D47" i="7"/>
  <c r="F52" i="6"/>
  <c r="D161" i="7"/>
  <c r="E68" i="4"/>
  <c r="N69" i="4"/>
  <c r="D54" i="4"/>
  <c r="M55" i="4"/>
  <c r="E67" i="6"/>
  <c r="E176" i="7" s="1"/>
  <c r="E61" i="7"/>
  <c r="B169" i="7"/>
  <c r="B40" i="4" l="1"/>
  <c r="B43" i="7" s="1"/>
  <c r="J51" i="4"/>
  <c r="D55" i="4"/>
  <c r="M56" i="4"/>
  <c r="E69" i="4"/>
  <c r="N70" i="4"/>
  <c r="D54" i="6"/>
  <c r="D48" i="7"/>
  <c r="E68" i="6"/>
  <c r="E177" i="7" s="1"/>
  <c r="E62" i="7"/>
  <c r="F53" i="6"/>
  <c r="D162" i="7"/>
  <c r="B170" i="7"/>
  <c r="B51" i="4" l="1"/>
  <c r="B45" i="7" s="1"/>
  <c r="J52" i="4"/>
  <c r="D56" i="4"/>
  <c r="M57" i="4"/>
  <c r="E70" i="4"/>
  <c r="N71" i="4"/>
  <c r="E69" i="6"/>
  <c r="E178" i="7" s="1"/>
  <c r="E63" i="7"/>
  <c r="F54" i="6"/>
  <c r="D163" i="7"/>
  <c r="D55" i="6"/>
  <c r="D49" i="7"/>
  <c r="B171" i="7"/>
  <c r="B52" i="4" l="1"/>
  <c r="B46" i="7" s="1"/>
  <c r="J53" i="4"/>
  <c r="E71" i="4"/>
  <c r="N72" i="4"/>
  <c r="D57" i="4"/>
  <c r="M58" i="4"/>
  <c r="F55" i="6"/>
  <c r="D164" i="7"/>
  <c r="E70" i="6"/>
  <c r="E179" i="7" s="1"/>
  <c r="E64" i="7"/>
  <c r="D56" i="6"/>
  <c r="D50" i="7"/>
  <c r="B172" i="7"/>
  <c r="B53" i="4" l="1"/>
  <c r="B47" i="7" s="1"/>
  <c r="J54" i="4"/>
  <c r="F56" i="6"/>
  <c r="D165" i="7"/>
  <c r="E71" i="6"/>
  <c r="E180" i="7" s="1"/>
  <c r="E65" i="7"/>
  <c r="D58" i="4"/>
  <c r="M59" i="4"/>
  <c r="E72" i="4"/>
  <c r="N73" i="4"/>
  <c r="D57" i="6"/>
  <c r="D51" i="7"/>
  <c r="B173" i="7"/>
  <c r="B54" i="4" l="1"/>
  <c r="B48" i="7" s="1"/>
  <c r="J55" i="4"/>
  <c r="E73" i="4"/>
  <c r="N74" i="4"/>
  <c r="D59" i="4"/>
  <c r="M60" i="4"/>
  <c r="F57" i="6"/>
  <c r="D166" i="7"/>
  <c r="E72" i="6"/>
  <c r="E181" i="7" s="1"/>
  <c r="E66" i="7"/>
  <c r="D9" i="36" s="1"/>
  <c r="F9" i="36" s="1"/>
  <c r="D58" i="6"/>
  <c r="D52" i="7"/>
  <c r="B174" i="7"/>
  <c r="B55" i="4" l="1"/>
  <c r="B49" i="7" s="1"/>
  <c r="J56" i="4"/>
  <c r="E74" i="4"/>
  <c r="N75" i="4"/>
  <c r="D60" i="4"/>
  <c r="M61" i="4"/>
  <c r="F58" i="6"/>
  <c r="D167" i="7"/>
  <c r="D59" i="6"/>
  <c r="D53" i="7"/>
  <c r="E73" i="6"/>
  <c r="E182" i="7" s="1"/>
  <c r="E67" i="7"/>
  <c r="B175" i="7"/>
  <c r="B56" i="4" l="1"/>
  <c r="B50" i="7" s="1"/>
  <c r="J57" i="4"/>
  <c r="D61" i="4"/>
  <c r="M62" i="4"/>
  <c r="D60" i="6"/>
  <c r="D54" i="7"/>
  <c r="E75" i="4"/>
  <c r="N76" i="4"/>
  <c r="F59" i="6"/>
  <c r="D168" i="7"/>
  <c r="E74" i="6"/>
  <c r="E183" i="7" s="1"/>
  <c r="E68" i="7"/>
  <c r="B176" i="7"/>
  <c r="B57" i="4" l="1"/>
  <c r="B51" i="7" s="1"/>
  <c r="J58" i="4"/>
  <c r="E76" i="4"/>
  <c r="N77" i="4"/>
  <c r="E75" i="6"/>
  <c r="E184" i="7" s="1"/>
  <c r="E69" i="7"/>
  <c r="D62" i="4"/>
  <c r="M63" i="4"/>
  <c r="F60" i="6"/>
  <c r="D169" i="7"/>
  <c r="D61" i="6"/>
  <c r="D55" i="7"/>
  <c r="B177" i="7"/>
  <c r="B58" i="4" l="1"/>
  <c r="B52" i="7" s="1"/>
  <c r="J59" i="4"/>
  <c r="D63" i="4"/>
  <c r="M64" i="4"/>
  <c r="F61" i="6"/>
  <c r="D170" i="7"/>
  <c r="D62" i="6"/>
  <c r="D56" i="7"/>
  <c r="E77" i="4"/>
  <c r="N78" i="4"/>
  <c r="E76" i="6"/>
  <c r="E185" i="7" s="1"/>
  <c r="E70" i="7"/>
  <c r="O5" i="4"/>
  <c r="G5" i="4" s="1"/>
  <c r="G5" i="6" s="1"/>
  <c r="B178" i="7"/>
  <c r="B59" i="4" l="1"/>
  <c r="B53" i="7" s="1"/>
  <c r="J60" i="4"/>
  <c r="E78" i="4"/>
  <c r="N79" i="4"/>
  <c r="E77" i="6"/>
  <c r="E186" i="7" s="1"/>
  <c r="E71" i="7"/>
  <c r="D64" i="4"/>
  <c r="M65" i="4"/>
  <c r="F62" i="6"/>
  <c r="D171" i="7"/>
  <c r="D63" i="6"/>
  <c r="D57" i="7"/>
  <c r="O6" i="4"/>
  <c r="G6" i="4" s="1"/>
  <c r="G6" i="6" s="1"/>
  <c r="B179" i="7"/>
  <c r="B60" i="4" l="1"/>
  <c r="B54" i="7" s="1"/>
  <c r="J61" i="4"/>
  <c r="F63" i="6"/>
  <c r="D172" i="7"/>
  <c r="D65" i="4"/>
  <c r="M66" i="4"/>
  <c r="E79" i="4"/>
  <c r="N80" i="4"/>
  <c r="D64" i="6"/>
  <c r="D58" i="7"/>
  <c r="E78" i="6"/>
  <c r="E187" i="7" s="1"/>
  <c r="E72" i="7"/>
  <c r="O7" i="4"/>
  <c r="G7" i="4" s="1"/>
  <c r="G7" i="6" s="1"/>
  <c r="B180" i="7"/>
  <c r="C4" i="4"/>
  <c r="F4" i="4" s="1"/>
  <c r="L5" i="4"/>
  <c r="BN14" i="2" l="1"/>
  <c r="B61" i="4"/>
  <c r="B55" i="7" s="1"/>
  <c r="J62" i="4"/>
  <c r="E80" i="4"/>
  <c r="N81" i="4"/>
  <c r="E79" i="6"/>
  <c r="E188" i="7" s="1"/>
  <c r="E73" i="7"/>
  <c r="D66" i="4"/>
  <c r="M67" i="4"/>
  <c r="F64" i="6"/>
  <c r="D173" i="7"/>
  <c r="D65" i="6"/>
  <c r="D59" i="7"/>
  <c r="BO14" i="2"/>
  <c r="O8" i="4"/>
  <c r="G8" i="4" s="1"/>
  <c r="G8" i="6" s="1"/>
  <c r="C5" i="4"/>
  <c r="F5" i="4" s="1"/>
  <c r="L6" i="4"/>
  <c r="B181" i="7"/>
  <c r="BN15" i="2" l="1"/>
  <c r="B62" i="4"/>
  <c r="B56" i="7" s="1"/>
  <c r="J63" i="4"/>
  <c r="E81" i="4"/>
  <c r="N83" i="4"/>
  <c r="E83" i="4" s="1"/>
  <c r="N82" i="4"/>
  <c r="E82" i="4" s="1"/>
  <c r="N95" i="4"/>
  <c r="D67" i="4"/>
  <c r="M68" i="4"/>
  <c r="F65" i="6"/>
  <c r="D174" i="7"/>
  <c r="D66" i="6"/>
  <c r="D60" i="7"/>
  <c r="E80" i="6"/>
  <c r="E189" i="7" s="1"/>
  <c r="E74" i="7"/>
  <c r="BO15" i="2"/>
  <c r="O9" i="4"/>
  <c r="G9" i="4" s="1"/>
  <c r="G9" i="6" s="1"/>
  <c r="B182" i="7"/>
  <c r="C6" i="4"/>
  <c r="F6" i="4" s="1"/>
  <c r="L7" i="4"/>
  <c r="BN16" i="2" l="1"/>
  <c r="B63" i="4"/>
  <c r="B57" i="7" s="1"/>
  <c r="J64" i="4"/>
  <c r="E95" i="4"/>
  <c r="N96" i="4"/>
  <c r="E82" i="6"/>
  <c r="E191" i="7" s="1"/>
  <c r="E76" i="7"/>
  <c r="D68" i="4"/>
  <c r="M69" i="4"/>
  <c r="E77" i="7"/>
  <c r="E83" i="6"/>
  <c r="E192" i="7" s="1"/>
  <c r="F66" i="6"/>
  <c r="D175" i="7"/>
  <c r="D67" i="6"/>
  <c r="D61" i="7"/>
  <c r="E81" i="6"/>
  <c r="E190" i="7" s="1"/>
  <c r="E75" i="7"/>
  <c r="BO16" i="2"/>
  <c r="O10" i="4"/>
  <c r="G10" i="4" s="1"/>
  <c r="G10" i="6" s="1"/>
  <c r="B183" i="7"/>
  <c r="C7" i="4"/>
  <c r="F7" i="4" s="1"/>
  <c r="L8" i="4"/>
  <c r="BN17" i="2" l="1"/>
  <c r="B64" i="4"/>
  <c r="B58" i="7" s="1"/>
  <c r="J65" i="4"/>
  <c r="D69" i="4"/>
  <c r="M70" i="4"/>
  <c r="D68" i="6"/>
  <c r="D62" i="7"/>
  <c r="E96" i="4"/>
  <c r="N97" i="4"/>
  <c r="F67" i="6"/>
  <c r="D176" i="7"/>
  <c r="E95" i="6"/>
  <c r="E193" i="7" s="1"/>
  <c r="E78" i="7"/>
  <c r="BO17" i="2"/>
  <c r="O11" i="4"/>
  <c r="G11" i="4" s="1"/>
  <c r="G11" i="6" s="1"/>
  <c r="B184" i="7"/>
  <c r="C8" i="4"/>
  <c r="F8" i="4" s="1"/>
  <c r="L9" i="4"/>
  <c r="BN18" i="2" l="1"/>
  <c r="B65" i="4"/>
  <c r="B59" i="7" s="1"/>
  <c r="J66" i="4"/>
  <c r="E96" i="6"/>
  <c r="E194" i="7" s="1"/>
  <c r="E79" i="7"/>
  <c r="F68" i="6"/>
  <c r="D177" i="7"/>
  <c r="D70" i="4"/>
  <c r="M71" i="4"/>
  <c r="E97" i="4"/>
  <c r="N98" i="4"/>
  <c r="D69" i="6"/>
  <c r="D63" i="7"/>
  <c r="BO18" i="2"/>
  <c r="O12" i="4"/>
  <c r="B185" i="7"/>
  <c r="C9" i="4"/>
  <c r="F9" i="4" s="1"/>
  <c r="L10" i="4"/>
  <c r="BN19" i="2" l="1"/>
  <c r="B66" i="4"/>
  <c r="B60" i="7" s="1"/>
  <c r="J67" i="4"/>
  <c r="G12" i="4"/>
  <c r="G12" i="6" s="1"/>
  <c r="O13" i="4"/>
  <c r="F69" i="6"/>
  <c r="D178" i="7"/>
  <c r="D70" i="6"/>
  <c r="D64" i="7"/>
  <c r="E98" i="4"/>
  <c r="N99" i="4"/>
  <c r="D71" i="4"/>
  <c r="M72" i="4"/>
  <c r="E97" i="6"/>
  <c r="E195" i="7" s="1"/>
  <c r="E80" i="7"/>
  <c r="BO19" i="2"/>
  <c r="C10" i="4"/>
  <c r="F10" i="4" s="1"/>
  <c r="L11" i="4"/>
  <c r="B186" i="7"/>
  <c r="BN20" i="2" l="1"/>
  <c r="B67" i="4"/>
  <c r="B61" i="7" s="1"/>
  <c r="J68" i="4"/>
  <c r="O14" i="4"/>
  <c r="O16" i="4" s="1"/>
  <c r="G16" i="4" s="1"/>
  <c r="G16" i="6" s="1"/>
  <c r="G13" i="4"/>
  <c r="G13" i="6" s="1"/>
  <c r="D179" i="7"/>
  <c r="F70" i="6"/>
  <c r="D72" i="4"/>
  <c r="M73" i="4"/>
  <c r="E99" i="4"/>
  <c r="N100" i="4"/>
  <c r="D71" i="6"/>
  <c r="D65" i="7"/>
  <c r="E98" i="6"/>
  <c r="E196" i="7" s="1"/>
  <c r="E81" i="7"/>
  <c r="BO20" i="2"/>
  <c r="B187" i="7"/>
  <c r="C11" i="4"/>
  <c r="F11" i="4" s="1"/>
  <c r="L12" i="4"/>
  <c r="L13" i="4" s="1"/>
  <c r="BN21" i="2" l="1"/>
  <c r="B68" i="4"/>
  <c r="B62" i="7" s="1"/>
  <c r="J69" i="4"/>
  <c r="G14" i="4"/>
  <c r="G14" i="6" s="1"/>
  <c r="O15" i="4"/>
  <c r="G15" i="4" s="1"/>
  <c r="G15" i="6" s="1"/>
  <c r="L14" i="4"/>
  <c r="L15" i="4" s="1"/>
  <c r="C15" i="4" s="1"/>
  <c r="F15" i="4" s="1"/>
  <c r="C13" i="4"/>
  <c r="F13" i="4" s="1"/>
  <c r="E99" i="6"/>
  <c r="E197" i="7" s="1"/>
  <c r="E82" i="7"/>
  <c r="E100" i="4"/>
  <c r="N101" i="4"/>
  <c r="D73" i="4"/>
  <c r="M74" i="4"/>
  <c r="F71" i="6"/>
  <c r="D180" i="7"/>
  <c r="D72" i="6"/>
  <c r="D66" i="7"/>
  <c r="D8" i="36" s="1"/>
  <c r="F8" i="36" s="1"/>
  <c r="BO21" i="2"/>
  <c r="O17" i="4"/>
  <c r="G17" i="4" s="1"/>
  <c r="G17" i="6" s="1"/>
  <c r="B188" i="7"/>
  <c r="C12" i="4"/>
  <c r="F12" i="4" s="1"/>
  <c r="BN22" i="2" l="1"/>
  <c r="B69" i="4"/>
  <c r="B63" i="7" s="1"/>
  <c r="J70" i="4"/>
  <c r="E101" i="4"/>
  <c r="N102" i="4"/>
  <c r="F72" i="6"/>
  <c r="D181" i="7"/>
  <c r="E100" i="6"/>
  <c r="E198" i="7" s="1"/>
  <c r="E83" i="7"/>
  <c r="D74" i="4"/>
  <c r="M75" i="4"/>
  <c r="D73" i="6"/>
  <c r="D67" i="7"/>
  <c r="BO22" i="2"/>
  <c r="O18" i="4"/>
  <c r="G18" i="4" s="1"/>
  <c r="G18" i="6" s="1"/>
  <c r="B193" i="7"/>
  <c r="C14" i="4"/>
  <c r="F14" i="4" s="1"/>
  <c r="L16" i="4"/>
  <c r="B189" i="7"/>
  <c r="BN24" i="2" l="1"/>
  <c r="B70" i="4"/>
  <c r="B64" i="7" s="1"/>
  <c r="J71" i="4"/>
  <c r="F73" i="6"/>
  <c r="D182" i="7"/>
  <c r="D75" i="4"/>
  <c r="M76" i="4"/>
  <c r="N103" i="4"/>
  <c r="N104" i="4" s="1"/>
  <c r="E102" i="4"/>
  <c r="D74" i="6"/>
  <c r="D68" i="7"/>
  <c r="E101" i="6"/>
  <c r="E199" i="7" s="1"/>
  <c r="E84" i="7"/>
  <c r="BO24" i="2"/>
  <c r="B194" i="7"/>
  <c r="O19" i="4"/>
  <c r="G19" i="4" s="1"/>
  <c r="G19" i="6" s="1"/>
  <c r="B190" i="7"/>
  <c r="C16" i="4"/>
  <c r="F16" i="4" s="1"/>
  <c r="L17" i="4"/>
  <c r="B191" i="7"/>
  <c r="BN26" i="2" l="1"/>
  <c r="B71" i="4"/>
  <c r="B65" i="7" s="1"/>
  <c r="J72" i="4"/>
  <c r="N105" i="4"/>
  <c r="E105" i="4" s="1"/>
  <c r="E104" i="4"/>
  <c r="D76" i="4"/>
  <c r="M77" i="4"/>
  <c r="D183" i="7"/>
  <c r="F74" i="6"/>
  <c r="D75" i="6"/>
  <c r="D69" i="7"/>
  <c r="E85" i="7"/>
  <c r="E102" i="6"/>
  <c r="E200" i="7" s="1"/>
  <c r="E103" i="4"/>
  <c r="BO26" i="2"/>
  <c r="O20" i="4"/>
  <c r="G20" i="4" s="1"/>
  <c r="G20" i="6" s="1"/>
  <c r="C17" i="4"/>
  <c r="F17" i="4" s="1"/>
  <c r="L18" i="4"/>
  <c r="B192" i="7"/>
  <c r="BN27" i="2" l="1"/>
  <c r="B72" i="4"/>
  <c r="B66" i="7" s="1"/>
  <c r="D7" i="36" s="1"/>
  <c r="J73" i="4"/>
  <c r="E104" i="6"/>
  <c r="E202" i="7" s="1"/>
  <c r="E87" i="7"/>
  <c r="D9" i="35" s="1"/>
  <c r="F9" i="35" s="1"/>
  <c r="E88" i="7"/>
  <c r="E105" i="6"/>
  <c r="E203" i="7" s="1"/>
  <c r="N106" i="4"/>
  <c r="E103" i="6"/>
  <c r="E201" i="7" s="1"/>
  <c r="E86" i="7"/>
  <c r="D77" i="4"/>
  <c r="M78" i="4"/>
  <c r="D184" i="7"/>
  <c r="F75" i="6"/>
  <c r="D76" i="6"/>
  <c r="D70" i="7"/>
  <c r="BO27" i="2"/>
  <c r="O21" i="4"/>
  <c r="C18" i="4"/>
  <c r="F18" i="4" s="1"/>
  <c r="L19" i="4"/>
  <c r="B195" i="7"/>
  <c r="F7" i="36" l="1"/>
  <c r="D10" i="36"/>
  <c r="BN28" i="2"/>
  <c r="B73" i="4"/>
  <c r="B67" i="7" s="1"/>
  <c r="J74" i="4"/>
  <c r="F76" i="6"/>
  <c r="D185" i="7"/>
  <c r="E106" i="4"/>
  <c r="N107" i="4"/>
  <c r="D78" i="4"/>
  <c r="M79" i="4"/>
  <c r="D77" i="6"/>
  <c r="D71" i="7"/>
  <c r="G21" i="4"/>
  <c r="G21" i="6" s="1"/>
  <c r="O22" i="4"/>
  <c r="BO28" i="2"/>
  <c r="B196" i="7"/>
  <c r="C19" i="4"/>
  <c r="F19" i="4" s="1"/>
  <c r="L20" i="4"/>
  <c r="L21" i="4" s="1"/>
  <c r="L22" i="4" s="1"/>
  <c r="F10" i="36" l="1"/>
  <c r="F43" i="36" s="1"/>
  <c r="D43" i="36"/>
  <c r="D44" i="36" s="1"/>
  <c r="BN29" i="2"/>
  <c r="B74" i="4"/>
  <c r="B68" i="7" s="1"/>
  <c r="J75" i="4"/>
  <c r="D186" i="7"/>
  <c r="F77" i="6"/>
  <c r="E106" i="6"/>
  <c r="E204" i="7" s="1"/>
  <c r="E89" i="7"/>
  <c r="D79" i="4"/>
  <c r="M80" i="4"/>
  <c r="E107" i="4"/>
  <c r="N108" i="4"/>
  <c r="D78" i="6"/>
  <c r="D72" i="7"/>
  <c r="O23" i="4"/>
  <c r="O24" i="4" s="1"/>
  <c r="O25" i="4" s="1"/>
  <c r="G22" i="4"/>
  <c r="G22" i="6" s="1"/>
  <c r="C22" i="4"/>
  <c r="F22" i="4" s="1"/>
  <c r="L23" i="4"/>
  <c r="L24" i="4" s="1"/>
  <c r="L25" i="4" s="1"/>
  <c r="BO29" i="2"/>
  <c r="C21" i="4"/>
  <c r="F21" i="4" s="1"/>
  <c r="B197" i="7"/>
  <c r="B198" i="7"/>
  <c r="C20" i="4"/>
  <c r="F20" i="4" s="1"/>
  <c r="BN30" i="2" l="1"/>
  <c r="G23" i="4"/>
  <c r="G23" i="6" s="1"/>
  <c r="BN31" i="2"/>
  <c r="BN32" i="2"/>
  <c r="BO32" i="2" s="1"/>
  <c r="B75" i="4"/>
  <c r="B69" i="7" s="1"/>
  <c r="J76" i="4"/>
  <c r="D187" i="7"/>
  <c r="F78" i="6"/>
  <c r="D79" i="6"/>
  <c r="D73" i="7"/>
  <c r="E108" i="4"/>
  <c r="N109" i="4"/>
  <c r="D80" i="4"/>
  <c r="M81" i="4"/>
  <c r="E107" i="6"/>
  <c r="E205" i="7" s="1"/>
  <c r="E90" i="7"/>
  <c r="G24" i="4"/>
  <c r="G24" i="6" s="1"/>
  <c r="L26" i="4"/>
  <c r="C25" i="4"/>
  <c r="F25" i="4" s="1"/>
  <c r="O26" i="4"/>
  <c r="G26" i="4" s="1"/>
  <c r="G26" i="6" s="1"/>
  <c r="G25" i="4"/>
  <c r="G25" i="6" s="1"/>
  <c r="BO31" i="2"/>
  <c r="BO30" i="2"/>
  <c r="C23" i="4"/>
  <c r="F23" i="4" s="1"/>
  <c r="B199" i="7"/>
  <c r="BN33" i="2" l="1"/>
  <c r="BO33" i="2" s="1"/>
  <c r="BN35" i="2"/>
  <c r="BO35" i="2" s="1"/>
  <c r="B76" i="4"/>
  <c r="B70" i="7" s="1"/>
  <c r="J77" i="4"/>
  <c r="D188" i="7"/>
  <c r="F79" i="6"/>
  <c r="D81" i="4"/>
  <c r="M95" i="4"/>
  <c r="M83" i="4"/>
  <c r="D83" i="4" s="1"/>
  <c r="M82" i="4"/>
  <c r="D82" i="4" s="1"/>
  <c r="E109" i="4"/>
  <c r="N110" i="4"/>
  <c r="D80" i="6"/>
  <c r="D74" i="7"/>
  <c r="E108" i="6"/>
  <c r="E206" i="7" s="1"/>
  <c r="E91" i="7"/>
  <c r="O27" i="4"/>
  <c r="C26" i="4"/>
  <c r="C24" i="4"/>
  <c r="F24" i="4" s="1"/>
  <c r="BN34" i="2" l="1"/>
  <c r="B77" i="4"/>
  <c r="B71" i="7" s="1"/>
  <c r="J78" i="4"/>
  <c r="D81" i="6"/>
  <c r="D75" i="7"/>
  <c r="E109" i="6"/>
  <c r="E207" i="7" s="1"/>
  <c r="E92" i="7"/>
  <c r="G27" i="4"/>
  <c r="G27" i="6" s="1"/>
  <c r="O28" i="4"/>
  <c r="D82" i="6"/>
  <c r="D76" i="7"/>
  <c r="E110" i="4"/>
  <c r="N111" i="4"/>
  <c r="D95" i="4"/>
  <c r="M96" i="4"/>
  <c r="F80" i="6"/>
  <c r="D189" i="7"/>
  <c r="D83" i="6"/>
  <c r="D77" i="7"/>
  <c r="BO34" i="2"/>
  <c r="L27" i="4"/>
  <c r="L28" i="4" s="1"/>
  <c r="F26" i="4"/>
  <c r="BN36" i="2" l="1"/>
  <c r="BO36" i="2" s="1"/>
  <c r="B78" i="4"/>
  <c r="B72" i="7" s="1"/>
  <c r="J79" i="4"/>
  <c r="D96" i="4"/>
  <c r="M97" i="4"/>
  <c r="D192" i="7"/>
  <c r="F83" i="6"/>
  <c r="D95" i="6"/>
  <c r="D78" i="7"/>
  <c r="D191" i="7"/>
  <c r="F82" i="6"/>
  <c r="N112" i="4"/>
  <c r="E111" i="4"/>
  <c r="G28" i="4"/>
  <c r="G28" i="6" s="1"/>
  <c r="O29" i="4"/>
  <c r="L29" i="4"/>
  <c r="C28" i="4"/>
  <c r="F28" i="4" s="1"/>
  <c r="E110" i="6"/>
  <c r="E208" i="7" s="1"/>
  <c r="E93" i="7"/>
  <c r="F81" i="6"/>
  <c r="D190" i="7"/>
  <c r="C27" i="4"/>
  <c r="F27" i="4" s="1"/>
  <c r="B204" i="7"/>
  <c r="BN37" i="2" l="1"/>
  <c r="BO37" i="2" s="1"/>
  <c r="BN38" i="2"/>
  <c r="BO38" i="2" s="1"/>
  <c r="B79" i="4"/>
  <c r="B73" i="7" s="1"/>
  <c r="J80" i="4"/>
  <c r="L30" i="4"/>
  <c r="C29" i="4"/>
  <c r="F29" i="4" s="1"/>
  <c r="E112" i="4"/>
  <c r="N113" i="4"/>
  <c r="E94" i="7"/>
  <c r="E111" i="6"/>
  <c r="E209" i="7" s="1"/>
  <c r="O30" i="4"/>
  <c r="G29" i="4"/>
  <c r="G29" i="6" s="1"/>
  <c r="D97" i="4"/>
  <c r="M98" i="4"/>
  <c r="D193" i="7"/>
  <c r="F95" i="6"/>
  <c r="D96" i="6"/>
  <c r="D79" i="7"/>
  <c r="B205" i="7"/>
  <c r="BN39" i="2" l="1"/>
  <c r="BO39" i="2" s="1"/>
  <c r="B80" i="4"/>
  <c r="B74" i="7" s="1"/>
  <c r="J81" i="4"/>
  <c r="N114" i="4"/>
  <c r="E113" i="4"/>
  <c r="F96" i="6"/>
  <c r="D194" i="7"/>
  <c r="D97" i="6"/>
  <c r="D80" i="7"/>
  <c r="O31" i="4"/>
  <c r="G30" i="4"/>
  <c r="G30" i="6" s="1"/>
  <c r="E112" i="6"/>
  <c r="E210" i="7" s="1"/>
  <c r="E95" i="7"/>
  <c r="D98" i="4"/>
  <c r="M99" i="4"/>
  <c r="L31" i="4"/>
  <c r="C30" i="4"/>
  <c r="F30" i="4" s="1"/>
  <c r="B206" i="7"/>
  <c r="BN40" i="2" l="1"/>
  <c r="BO40" i="2" s="1"/>
  <c r="B81" i="4"/>
  <c r="B75" i="7" s="1"/>
  <c r="J83" i="4"/>
  <c r="J82" i="4"/>
  <c r="J95" i="4"/>
  <c r="D98" i="6"/>
  <c r="D81" i="7"/>
  <c r="G31" i="4"/>
  <c r="G31" i="6" s="1"/>
  <c r="O32" i="4"/>
  <c r="E113" i="6"/>
  <c r="E211" i="7" s="1"/>
  <c r="E96" i="7"/>
  <c r="D99" i="4"/>
  <c r="M100" i="4"/>
  <c r="C31" i="4"/>
  <c r="F31" i="4" s="1"/>
  <c r="L32" i="4"/>
  <c r="D195" i="7"/>
  <c r="F97" i="6"/>
  <c r="E114" i="4"/>
  <c r="N115" i="4"/>
  <c r="B207" i="7"/>
  <c r="BN41" i="2" l="1"/>
  <c r="B95" i="4"/>
  <c r="B78" i="7" s="1"/>
  <c r="J96" i="4"/>
  <c r="B82" i="4"/>
  <c r="B76" i="7" s="1"/>
  <c r="B83" i="4"/>
  <c r="B77" i="7" s="1"/>
  <c r="E115" i="4"/>
  <c r="N116" i="4"/>
  <c r="D100" i="4"/>
  <c r="M101" i="4"/>
  <c r="E114" i="6"/>
  <c r="E212" i="7" s="1"/>
  <c r="E97" i="7"/>
  <c r="D99" i="6"/>
  <c r="D82" i="7"/>
  <c r="G32" i="4"/>
  <c r="G32" i="6" s="1"/>
  <c r="O33" i="4"/>
  <c r="C32" i="4"/>
  <c r="F32" i="4" s="1"/>
  <c r="L33" i="4"/>
  <c r="BO41" i="2"/>
  <c r="F98" i="6"/>
  <c r="D196" i="7"/>
  <c r="B208" i="7"/>
  <c r="BN42" i="2" l="1"/>
  <c r="B96" i="4"/>
  <c r="B79" i="7" s="1"/>
  <c r="J97" i="4"/>
  <c r="G33" i="4"/>
  <c r="G33" i="6" s="1"/>
  <c r="O34" i="4"/>
  <c r="D101" i="4"/>
  <c r="M102" i="4"/>
  <c r="D100" i="6"/>
  <c r="D83" i="7"/>
  <c r="L34" i="4"/>
  <c r="C33" i="4"/>
  <c r="F33" i="4" s="1"/>
  <c r="E116" i="4"/>
  <c r="N130" i="4"/>
  <c r="BO42" i="2"/>
  <c r="D197" i="7"/>
  <c r="F99" i="6"/>
  <c r="E98" i="7"/>
  <c r="E115" i="6"/>
  <c r="E213" i="7" s="1"/>
  <c r="B212" i="7"/>
  <c r="BN43" i="2" l="1"/>
  <c r="B97" i="4"/>
  <c r="B80" i="7" s="1"/>
  <c r="J98" i="4"/>
  <c r="D102" i="4"/>
  <c r="M103" i="4"/>
  <c r="M104" i="4" s="1"/>
  <c r="E99" i="7"/>
  <c r="E116" i="6"/>
  <c r="E214" i="7" s="1"/>
  <c r="F100" i="6"/>
  <c r="D198" i="7"/>
  <c r="D101" i="6"/>
  <c r="D84" i="7"/>
  <c r="E130" i="4"/>
  <c r="N131" i="4"/>
  <c r="BO43" i="2"/>
  <c r="G34" i="4"/>
  <c r="G34" i="6" s="1"/>
  <c r="O35" i="4"/>
  <c r="L35" i="4"/>
  <c r="C34" i="4"/>
  <c r="F34" i="4" s="1"/>
  <c r="B213" i="7"/>
  <c r="BN44" i="2" l="1"/>
  <c r="B98" i="4"/>
  <c r="B81" i="7" s="1"/>
  <c r="J99" i="4"/>
  <c r="M105" i="4"/>
  <c r="D105" i="4" s="1"/>
  <c r="D104" i="4"/>
  <c r="L36" i="4"/>
  <c r="C35" i="4"/>
  <c r="F35" i="4" s="1"/>
  <c r="D199" i="7"/>
  <c r="F101" i="6"/>
  <c r="BO44" i="2"/>
  <c r="G35" i="4"/>
  <c r="G35" i="6" s="1"/>
  <c r="O36" i="4"/>
  <c r="N132" i="4"/>
  <c r="E131" i="4"/>
  <c r="D103" i="4"/>
  <c r="E132" i="6"/>
  <c r="E215" i="7" s="1"/>
  <c r="E100" i="7"/>
  <c r="D85" i="7"/>
  <c r="D102" i="6"/>
  <c r="B214" i="7"/>
  <c r="BN45" i="2" l="1"/>
  <c r="B99" i="4"/>
  <c r="B82" i="7" s="1"/>
  <c r="J100" i="4"/>
  <c r="D104" i="6"/>
  <c r="D87" i="7"/>
  <c r="D8" i="35" s="1"/>
  <c r="F8" i="35" s="1"/>
  <c r="D105" i="6"/>
  <c r="D88" i="7"/>
  <c r="M106" i="4"/>
  <c r="G36" i="4"/>
  <c r="G36" i="6" s="1"/>
  <c r="O37" i="4"/>
  <c r="D103" i="6"/>
  <c r="D86" i="7"/>
  <c r="F102" i="6"/>
  <c r="D200" i="7"/>
  <c r="E133" i="6"/>
  <c r="E216" i="7" s="1"/>
  <c r="E101" i="7"/>
  <c r="BO45" i="2"/>
  <c r="N133" i="4"/>
  <c r="E132" i="4"/>
  <c r="C36" i="4"/>
  <c r="F36" i="4" s="1"/>
  <c r="L37" i="4"/>
  <c r="B215" i="7"/>
  <c r="BN46" i="2" l="1"/>
  <c r="B100" i="4"/>
  <c r="B83" i="7" s="1"/>
  <c r="J101" i="4"/>
  <c r="D202" i="7"/>
  <c r="F104" i="6"/>
  <c r="D203" i="7"/>
  <c r="F105" i="6"/>
  <c r="E102" i="7"/>
  <c r="E134" i="6"/>
  <c r="E217" i="7" s="1"/>
  <c r="G37" i="4"/>
  <c r="G37" i="6" s="1"/>
  <c r="O38" i="4"/>
  <c r="E133" i="4"/>
  <c r="N134" i="4"/>
  <c r="C37" i="4"/>
  <c r="F37" i="4" s="1"/>
  <c r="L38" i="4"/>
  <c r="D106" i="4"/>
  <c r="M107" i="4"/>
  <c r="BO46" i="2"/>
  <c r="D201" i="7"/>
  <c r="F103" i="6"/>
  <c r="B216" i="7"/>
  <c r="BN47" i="2" l="1"/>
  <c r="B101" i="4"/>
  <c r="B84" i="7" s="1"/>
  <c r="J102" i="4"/>
  <c r="BO47" i="2"/>
  <c r="C38" i="4"/>
  <c r="F38" i="4" s="1"/>
  <c r="L39" i="4"/>
  <c r="D107" i="4"/>
  <c r="M108" i="4"/>
  <c r="N135" i="4"/>
  <c r="E134" i="4"/>
  <c r="G38" i="4"/>
  <c r="G38" i="6" s="1"/>
  <c r="O39" i="4"/>
  <c r="D106" i="6"/>
  <c r="D89" i="7"/>
  <c r="E135" i="6"/>
  <c r="E218" i="7" s="1"/>
  <c r="E103" i="7"/>
  <c r="B217" i="7"/>
  <c r="BN48" i="2" l="1"/>
  <c r="B102" i="4"/>
  <c r="B85" i="7" s="1"/>
  <c r="J103" i="4"/>
  <c r="L40" i="4"/>
  <c r="C39" i="4"/>
  <c r="F39" i="4" s="1"/>
  <c r="D204" i="7"/>
  <c r="F106" i="6"/>
  <c r="E135" i="4"/>
  <c r="N136" i="4"/>
  <c r="BO48" i="2"/>
  <c r="G39" i="4"/>
  <c r="G39" i="6" s="1"/>
  <c r="O40" i="4"/>
  <c r="D108" i="4"/>
  <c r="M109" i="4"/>
  <c r="E136" i="6"/>
  <c r="E219" i="7" s="1"/>
  <c r="E104" i="7"/>
  <c r="D107" i="6"/>
  <c r="D90" i="7"/>
  <c r="B218" i="7"/>
  <c r="BN49" i="2" l="1"/>
  <c r="J104" i="4"/>
  <c r="B103" i="4"/>
  <c r="B86" i="7" s="1"/>
  <c r="D108" i="6"/>
  <c r="D91" i="7"/>
  <c r="G40" i="4"/>
  <c r="G40" i="6" s="1"/>
  <c r="O51" i="4"/>
  <c r="N137" i="4"/>
  <c r="E136" i="4"/>
  <c r="BO49" i="2"/>
  <c r="D109" i="4"/>
  <c r="M110" i="4"/>
  <c r="D205" i="7"/>
  <c r="F107" i="6"/>
  <c r="E137" i="6"/>
  <c r="E220" i="7" s="1"/>
  <c r="E105" i="7"/>
  <c r="C40" i="4"/>
  <c r="F40" i="4" s="1"/>
  <c r="L51" i="4"/>
  <c r="B219" i="7"/>
  <c r="BN50" i="2" l="1"/>
  <c r="B104" i="4"/>
  <c r="B87" i="7" s="1"/>
  <c r="D7" i="35" s="1"/>
  <c r="J105" i="4"/>
  <c r="E138" i="6"/>
  <c r="E221" i="7" s="1"/>
  <c r="E106" i="7"/>
  <c r="D109" i="6"/>
  <c r="D92" i="7"/>
  <c r="N138" i="4"/>
  <c r="E137" i="4"/>
  <c r="F108" i="6"/>
  <c r="D206" i="7"/>
  <c r="C51" i="4"/>
  <c r="F51" i="4" s="1"/>
  <c r="L52" i="4"/>
  <c r="G51" i="4"/>
  <c r="G51" i="6" s="1"/>
  <c r="O52" i="4"/>
  <c r="D110" i="4"/>
  <c r="M111" i="4"/>
  <c r="BO50" i="2"/>
  <c r="B220" i="7"/>
  <c r="D10" i="35" l="1"/>
  <c r="F7" i="35"/>
  <c r="BN51" i="2"/>
  <c r="B105" i="4"/>
  <c r="B88" i="7" s="1"/>
  <c r="J106" i="4"/>
  <c r="G52" i="4"/>
  <c r="G52" i="6" s="1"/>
  <c r="O53" i="4"/>
  <c r="D207" i="7"/>
  <c r="F109" i="6"/>
  <c r="M112" i="4"/>
  <c r="D111" i="4"/>
  <c r="L53" i="4"/>
  <c r="C52" i="4"/>
  <c r="F52" i="4" s="1"/>
  <c r="E107" i="7"/>
  <c r="E139" i="6"/>
  <c r="E222" i="7" s="1"/>
  <c r="D110" i="6"/>
  <c r="D93" i="7"/>
  <c r="BO51" i="2"/>
  <c r="E138" i="4"/>
  <c r="N139" i="4"/>
  <c r="B221" i="7"/>
  <c r="F10" i="35" l="1"/>
  <c r="F131" i="35" s="1"/>
  <c r="D131" i="35"/>
  <c r="BN52" i="2"/>
  <c r="B106" i="4"/>
  <c r="B89" i="7" s="1"/>
  <c r="J107" i="4"/>
  <c r="L54" i="4"/>
  <c r="C53" i="4"/>
  <c r="F53" i="4" s="1"/>
  <c r="BO52" i="2"/>
  <c r="E139" i="4"/>
  <c r="N140" i="4"/>
  <c r="D111" i="6"/>
  <c r="D94" i="7"/>
  <c r="G53" i="4"/>
  <c r="G53" i="6" s="1"/>
  <c r="O54" i="4"/>
  <c r="E140" i="6"/>
  <c r="E223" i="7" s="1"/>
  <c r="E108" i="7"/>
  <c r="F110" i="6"/>
  <c r="D208" i="7"/>
  <c r="M113" i="4"/>
  <c r="D112" i="4"/>
  <c r="B222" i="7"/>
  <c r="D132" i="35" l="1"/>
  <c r="I134" i="35"/>
  <c r="BN53" i="2"/>
  <c r="B107" i="4"/>
  <c r="B90" i="7" s="1"/>
  <c r="J108" i="4"/>
  <c r="F111" i="6"/>
  <c r="D209" i="7"/>
  <c r="D95" i="7"/>
  <c r="D112" i="6"/>
  <c r="G54" i="4"/>
  <c r="G54" i="6" s="1"/>
  <c r="O55" i="4"/>
  <c r="N141" i="4"/>
  <c r="E140" i="4"/>
  <c r="BO53" i="2"/>
  <c r="M114" i="4"/>
  <c r="D113" i="4"/>
  <c r="E141" i="6"/>
  <c r="E224" i="7" s="1"/>
  <c r="E109" i="7"/>
  <c r="L55" i="4"/>
  <c r="C54" i="4"/>
  <c r="F54" i="4" s="1"/>
  <c r="B223" i="7"/>
  <c r="BN54" i="2" l="1"/>
  <c r="B108" i="4"/>
  <c r="B91" i="7" s="1"/>
  <c r="J109" i="4"/>
  <c r="E141" i="4"/>
  <c r="N142" i="4"/>
  <c r="E142" i="6"/>
  <c r="E225" i="7" s="1"/>
  <c r="E110" i="7"/>
  <c r="BO54" i="2"/>
  <c r="D96" i="7"/>
  <c r="D113" i="6"/>
  <c r="G55" i="4"/>
  <c r="G55" i="6" s="1"/>
  <c r="O56" i="4"/>
  <c r="D210" i="7"/>
  <c r="F112" i="6"/>
  <c r="C55" i="4"/>
  <c r="F55" i="4" s="1"/>
  <c r="L56" i="4"/>
  <c r="M115" i="4"/>
  <c r="D114" i="4"/>
  <c r="B224" i="7"/>
  <c r="BN55" i="2" l="1"/>
  <c r="B109" i="4"/>
  <c r="B92" i="7" s="1"/>
  <c r="J110" i="4"/>
  <c r="G56" i="4"/>
  <c r="G56" i="6" s="1"/>
  <c r="O57" i="4"/>
  <c r="N143" i="4"/>
  <c r="E142" i="4"/>
  <c r="E144" i="6" s="1"/>
  <c r="BO55" i="2"/>
  <c r="E143" i="6"/>
  <c r="E226" i="7" s="1"/>
  <c r="E111" i="7"/>
  <c r="D97" i="7"/>
  <c r="D114" i="6"/>
  <c r="D211" i="7"/>
  <c r="F113" i="6"/>
  <c r="C56" i="4"/>
  <c r="F56" i="4" s="1"/>
  <c r="L57" i="4"/>
  <c r="M116" i="4"/>
  <c r="D115" i="4"/>
  <c r="B225" i="7"/>
  <c r="BN56" i="2" l="1"/>
  <c r="B110" i="4"/>
  <c r="B93" i="7" s="1"/>
  <c r="J111" i="4"/>
  <c r="D115" i="6"/>
  <c r="D98" i="7"/>
  <c r="D116" i="4"/>
  <c r="M130" i="4"/>
  <c r="E143" i="4"/>
  <c r="N144" i="4"/>
  <c r="L58" i="4"/>
  <c r="C57" i="4"/>
  <c r="F57" i="4" s="1"/>
  <c r="D212" i="7"/>
  <c r="F114" i="6"/>
  <c r="G57" i="4"/>
  <c r="G57" i="6" s="1"/>
  <c r="O58" i="4"/>
  <c r="BO56" i="2"/>
  <c r="B226" i="7"/>
  <c r="BN57" i="2" l="1"/>
  <c r="B111" i="4"/>
  <c r="B94" i="7" s="1"/>
  <c r="J112" i="4"/>
  <c r="C58" i="4"/>
  <c r="F58" i="4" s="1"/>
  <c r="L59" i="4"/>
  <c r="D99" i="7"/>
  <c r="D116" i="6"/>
  <c r="G58" i="4"/>
  <c r="G58" i="6" s="1"/>
  <c r="O59" i="4"/>
  <c r="D130" i="4"/>
  <c r="M131" i="4"/>
  <c r="N145" i="4"/>
  <c r="E144" i="4"/>
  <c r="BO57" i="2"/>
  <c r="E112" i="7"/>
  <c r="E145" i="6"/>
  <c r="E227" i="7" s="1"/>
  <c r="D213" i="7"/>
  <c r="F115" i="6"/>
  <c r="BN58" i="2" l="1"/>
  <c r="B112" i="4"/>
  <c r="B95" i="7" s="1"/>
  <c r="J113" i="4"/>
  <c r="D131" i="4"/>
  <c r="M132" i="4"/>
  <c r="F116" i="6"/>
  <c r="D214" i="7"/>
  <c r="E145" i="4"/>
  <c r="N149" i="4"/>
  <c r="D132" i="6"/>
  <c r="D100" i="7"/>
  <c r="E113" i="7"/>
  <c r="E146" i="6"/>
  <c r="E228" i="7" s="1"/>
  <c r="G59" i="4"/>
  <c r="G59" i="6" s="1"/>
  <c r="O60" i="4"/>
  <c r="C59" i="4"/>
  <c r="F59" i="4" s="1"/>
  <c r="L60" i="4"/>
  <c r="BO58" i="2"/>
  <c r="B227" i="7"/>
  <c r="BN59" i="2" l="1"/>
  <c r="B113" i="4"/>
  <c r="B96" i="7" s="1"/>
  <c r="J114" i="4"/>
  <c r="G60" i="4"/>
  <c r="G60" i="6" s="1"/>
  <c r="O61" i="4"/>
  <c r="F132" i="6"/>
  <c r="D215" i="7"/>
  <c r="L61" i="4"/>
  <c r="C60" i="4"/>
  <c r="F60" i="4" s="1"/>
  <c r="E149" i="4"/>
  <c r="N150" i="4"/>
  <c r="D132" i="4"/>
  <c r="M133" i="4"/>
  <c r="BO59" i="2"/>
  <c r="E147" i="6"/>
  <c r="E229" i="7" s="1"/>
  <c r="E114" i="7"/>
  <c r="D133" i="6"/>
  <c r="D101" i="7"/>
  <c r="B228" i="7"/>
  <c r="BN60" i="2" l="1"/>
  <c r="B114" i="4"/>
  <c r="B97" i="7" s="1"/>
  <c r="J115" i="4"/>
  <c r="BO60" i="2"/>
  <c r="D134" i="6"/>
  <c r="D102" i="7"/>
  <c r="C61" i="4"/>
  <c r="F61" i="4" s="1"/>
  <c r="L62" i="4"/>
  <c r="E150" i="4"/>
  <c r="N151" i="4"/>
  <c r="D133" i="4"/>
  <c r="M134" i="4"/>
  <c r="G61" i="4"/>
  <c r="G61" i="6" s="1"/>
  <c r="O62" i="4"/>
  <c r="F133" i="6"/>
  <c r="D216" i="7"/>
  <c r="E151" i="6"/>
  <c r="E230" i="7" s="1"/>
  <c r="E115" i="7"/>
  <c r="B229" i="7"/>
  <c r="BN61" i="2" l="1"/>
  <c r="B115" i="4"/>
  <c r="B98" i="7" s="1"/>
  <c r="J116" i="4"/>
  <c r="G62" i="4"/>
  <c r="G62" i="6" s="1"/>
  <c r="O63" i="4"/>
  <c r="E152" i="6"/>
  <c r="E231" i="7" s="1"/>
  <c r="E116" i="7"/>
  <c r="E151" i="4"/>
  <c r="N152" i="4"/>
  <c r="D217" i="7"/>
  <c r="F134" i="6"/>
  <c r="M135" i="4"/>
  <c r="D134" i="4"/>
  <c r="C62" i="4"/>
  <c r="F62" i="4" s="1"/>
  <c r="L63" i="4"/>
  <c r="D103" i="7"/>
  <c r="D135" i="6"/>
  <c r="BO61" i="2"/>
  <c r="B230" i="7"/>
  <c r="BN62" i="2" l="1"/>
  <c r="B116" i="4"/>
  <c r="B99" i="7" s="1"/>
  <c r="J130" i="4"/>
  <c r="F135" i="6"/>
  <c r="D218" i="7"/>
  <c r="D135" i="4"/>
  <c r="M136" i="4"/>
  <c r="D136" i="6"/>
  <c r="D104" i="7"/>
  <c r="C63" i="4"/>
  <c r="F63" i="4" s="1"/>
  <c r="L64" i="4"/>
  <c r="E152" i="4"/>
  <c r="N153" i="4"/>
  <c r="G63" i="4"/>
  <c r="G63" i="6" s="1"/>
  <c r="O64" i="4"/>
  <c r="BO62" i="2"/>
  <c r="E117" i="7"/>
  <c r="E153" i="6"/>
  <c r="E232" i="7" s="1"/>
  <c r="B231" i="7"/>
  <c r="BN63" i="2" l="1"/>
  <c r="B130" i="4"/>
  <c r="B100" i="7" s="1"/>
  <c r="J131" i="4"/>
  <c r="L65" i="4"/>
  <c r="C64" i="4"/>
  <c r="F64" i="4" s="1"/>
  <c r="D137" i="6"/>
  <c r="D105" i="7"/>
  <c r="E153" i="4"/>
  <c r="N154" i="4"/>
  <c r="G64" i="4"/>
  <c r="G64" i="6" s="1"/>
  <c r="O65" i="4"/>
  <c r="M137" i="4"/>
  <c r="D136" i="4"/>
  <c r="BO63" i="2"/>
  <c r="E154" i="6"/>
  <c r="E233" i="7" s="1"/>
  <c r="E118" i="7"/>
  <c r="F136" i="6"/>
  <c r="D219" i="7"/>
  <c r="B233" i="7"/>
  <c r="B232" i="7"/>
  <c r="BN64" i="2" l="1"/>
  <c r="B131" i="4"/>
  <c r="B101" i="7" s="1"/>
  <c r="J132" i="4"/>
  <c r="N155" i="4"/>
  <c r="E154" i="4"/>
  <c r="M138" i="4"/>
  <c r="D137" i="4"/>
  <c r="E155" i="6"/>
  <c r="E234" i="7" s="1"/>
  <c r="E119" i="7"/>
  <c r="C65" i="4"/>
  <c r="F65" i="4" s="1"/>
  <c r="L66" i="4"/>
  <c r="BO64" i="2"/>
  <c r="G65" i="4"/>
  <c r="G65" i="6" s="1"/>
  <c r="O66" i="4"/>
  <c r="D106" i="7"/>
  <c r="D138" i="6"/>
  <c r="F137" i="6"/>
  <c r="D220" i="7"/>
  <c r="BN65" i="2" l="1"/>
  <c r="B132" i="4"/>
  <c r="B102" i="7" s="1"/>
  <c r="J133" i="4"/>
  <c r="BO65" i="2"/>
  <c r="D138" i="4"/>
  <c r="M139" i="4"/>
  <c r="G66" i="4"/>
  <c r="G66" i="6" s="1"/>
  <c r="O67" i="4"/>
  <c r="D139" i="6"/>
  <c r="D107" i="7"/>
  <c r="F138" i="6"/>
  <c r="D221" i="7"/>
  <c r="E156" i="6"/>
  <c r="E235" i="7" s="1"/>
  <c r="E120" i="7"/>
  <c r="L67" i="4"/>
  <c r="C66" i="4"/>
  <c r="F66" i="4" s="1"/>
  <c r="E155" i="4"/>
  <c r="N156" i="4"/>
  <c r="B234" i="7"/>
  <c r="BN66" i="2" l="1"/>
  <c r="B133" i="4"/>
  <c r="B103" i="7" s="1"/>
  <c r="J134" i="4"/>
  <c r="BO66" i="2"/>
  <c r="F139" i="6"/>
  <c r="D222" i="7"/>
  <c r="D140" i="6"/>
  <c r="D108" i="7"/>
  <c r="D139" i="4"/>
  <c r="M140" i="4"/>
  <c r="C67" i="4"/>
  <c r="F67" i="4" s="1"/>
  <c r="L68" i="4"/>
  <c r="N169" i="4"/>
  <c r="E156" i="4"/>
  <c r="G67" i="4"/>
  <c r="G67" i="6" s="1"/>
  <c r="O68" i="4"/>
  <c r="E157" i="6"/>
  <c r="E236" i="7" s="1"/>
  <c r="E121" i="7"/>
  <c r="B235" i="7"/>
  <c r="BN67" i="2" l="1"/>
  <c r="B134" i="4"/>
  <c r="B104" i="7" s="1"/>
  <c r="J135" i="4"/>
  <c r="G68" i="4"/>
  <c r="G68" i="6" s="1"/>
  <c r="O69" i="4"/>
  <c r="E122" i="7"/>
  <c r="E241" i="7" s="1"/>
  <c r="I182" i="27" s="1"/>
  <c r="E158" i="6"/>
  <c r="E237" i="7" s="1"/>
  <c r="D140" i="4"/>
  <c r="M141" i="4"/>
  <c r="N170" i="4"/>
  <c r="E169" i="4"/>
  <c r="D141" i="6"/>
  <c r="D109" i="7"/>
  <c r="C68" i="4"/>
  <c r="F68" i="4" s="1"/>
  <c r="L69" i="4"/>
  <c r="BO67" i="2"/>
  <c r="F140" i="6"/>
  <c r="D223" i="7"/>
  <c r="B236" i="7"/>
  <c r="B237" i="7"/>
  <c r="BN68" i="2" l="1"/>
  <c r="B135" i="4"/>
  <c r="B105" i="7" s="1"/>
  <c r="J136" i="4"/>
  <c r="F141" i="6"/>
  <c r="D224" i="7"/>
  <c r="C69" i="4"/>
  <c r="F69" i="4" s="1"/>
  <c r="L70" i="4"/>
  <c r="BO68" i="2"/>
  <c r="N171" i="4"/>
  <c r="E171" i="4" s="1"/>
  <c r="E170" i="4"/>
  <c r="D141" i="4"/>
  <c r="M142" i="4"/>
  <c r="G69" i="4"/>
  <c r="G69" i="6" s="1"/>
  <c r="O70" i="4"/>
  <c r="D142" i="6"/>
  <c r="D110" i="7"/>
  <c r="BN69" i="2" l="1"/>
  <c r="B136" i="4"/>
  <c r="B106" i="7" s="1"/>
  <c r="J137" i="4"/>
  <c r="F142" i="6"/>
  <c r="D225" i="7"/>
  <c r="D111" i="7"/>
  <c r="D143" i="6"/>
  <c r="G70" i="4"/>
  <c r="G70" i="6" s="1"/>
  <c r="O71" i="4"/>
  <c r="L71" i="4"/>
  <c r="C70" i="4"/>
  <c r="F70" i="4" s="1"/>
  <c r="D142" i="4"/>
  <c r="D144" i="6" s="1"/>
  <c r="F144" i="6" s="1"/>
  <c r="M143" i="4"/>
  <c r="BO69" i="2"/>
  <c r="BN70" i="2" l="1"/>
  <c r="B137" i="4"/>
  <c r="B107" i="7" s="1"/>
  <c r="J138" i="4"/>
  <c r="L72" i="4"/>
  <c r="C71" i="4"/>
  <c r="F71" i="4" s="1"/>
  <c r="F143" i="6"/>
  <c r="D226" i="7"/>
  <c r="M144" i="4"/>
  <c r="D143" i="4"/>
  <c r="G71" i="4"/>
  <c r="G71" i="6" s="1"/>
  <c r="O72" i="4"/>
  <c r="BO70" i="2"/>
  <c r="BN71" i="2" l="1"/>
  <c r="B138" i="4"/>
  <c r="B108" i="7" s="1"/>
  <c r="J139" i="4"/>
  <c r="G72" i="4"/>
  <c r="G72" i="6" s="1"/>
  <c r="O73" i="4"/>
  <c r="D112" i="7"/>
  <c r="D145" i="6"/>
  <c r="BO71" i="2"/>
  <c r="D144" i="4"/>
  <c r="M145" i="4"/>
  <c r="C72" i="4"/>
  <c r="F72" i="4" s="1"/>
  <c r="L73" i="4"/>
  <c r="BN72" i="2" l="1"/>
  <c r="B139" i="4"/>
  <c r="B109" i="7" s="1"/>
  <c r="J140" i="4"/>
  <c r="C73" i="4"/>
  <c r="F73" i="4" s="1"/>
  <c r="L74" i="4"/>
  <c r="F145" i="6"/>
  <c r="D227" i="7"/>
  <c r="BO72" i="2"/>
  <c r="D145" i="4"/>
  <c r="M149" i="4"/>
  <c r="G73" i="4"/>
  <c r="G73" i="6" s="1"/>
  <c r="O74" i="4"/>
  <c r="D146" i="6"/>
  <c r="D113" i="7"/>
  <c r="BN73" i="2" l="1"/>
  <c r="B140" i="4"/>
  <c r="B110" i="7" s="1"/>
  <c r="J141" i="4"/>
  <c r="G74" i="4"/>
  <c r="G74" i="6" s="1"/>
  <c r="O75" i="4"/>
  <c r="D149" i="4"/>
  <c r="M150" i="4"/>
  <c r="C74" i="4"/>
  <c r="F74" i="4" s="1"/>
  <c r="L75" i="4"/>
  <c r="D228" i="7"/>
  <c r="F146" i="6"/>
  <c r="D147" i="6"/>
  <c r="D114" i="7"/>
  <c r="BO73" i="2"/>
  <c r="BN74" i="2" l="1"/>
  <c r="B141" i="4"/>
  <c r="B111" i="7" s="1"/>
  <c r="J142" i="4"/>
  <c r="L76" i="4"/>
  <c r="C75" i="4"/>
  <c r="F75" i="4" s="1"/>
  <c r="F147" i="6"/>
  <c r="D229" i="7"/>
  <c r="G75" i="4"/>
  <c r="G75" i="6" s="1"/>
  <c r="O76" i="4"/>
  <c r="BO74" i="2"/>
  <c r="D150" i="4"/>
  <c r="M151" i="4"/>
  <c r="D115" i="7"/>
  <c r="D151" i="6"/>
  <c r="BN75" i="2" l="1"/>
  <c r="B142" i="4"/>
  <c r="J143" i="4"/>
  <c r="F151" i="6"/>
  <c r="D230" i="7"/>
  <c r="M152" i="4"/>
  <c r="D151" i="4"/>
  <c r="G76" i="4"/>
  <c r="G76" i="6" s="1"/>
  <c r="O77" i="4"/>
  <c r="BO75" i="2"/>
  <c r="D152" i="6"/>
  <c r="D116" i="7"/>
  <c r="C76" i="4"/>
  <c r="F76" i="4" s="1"/>
  <c r="L77" i="4"/>
  <c r="BN76" i="2" l="1"/>
  <c r="B143" i="4"/>
  <c r="B112" i="7" s="1"/>
  <c r="J144" i="4"/>
  <c r="L78" i="4"/>
  <c r="C77" i="4"/>
  <c r="F77" i="4" s="1"/>
  <c r="D153" i="6"/>
  <c r="D117" i="7"/>
  <c r="G77" i="4"/>
  <c r="G77" i="6" s="1"/>
  <c r="O78" i="4"/>
  <c r="F152" i="6"/>
  <c r="D231" i="7"/>
  <c r="BO76" i="2"/>
  <c r="D152" i="4"/>
  <c r="M153" i="4"/>
  <c r="BN77" i="2" l="1"/>
  <c r="B144" i="4"/>
  <c r="B113" i="7" s="1"/>
  <c r="J145" i="4"/>
  <c r="M154" i="4"/>
  <c r="D153" i="4"/>
  <c r="D154" i="6"/>
  <c r="D118" i="7"/>
  <c r="D232" i="7"/>
  <c r="F153" i="6"/>
  <c r="G78" i="4"/>
  <c r="G78" i="6" s="1"/>
  <c r="O79" i="4"/>
  <c r="BO77" i="2"/>
  <c r="C78" i="4"/>
  <c r="F78" i="4" s="1"/>
  <c r="L79" i="4"/>
  <c r="BN78" i="2" l="1"/>
  <c r="B145" i="4"/>
  <c r="B114" i="7" s="1"/>
  <c r="J149" i="4"/>
  <c r="D233" i="7"/>
  <c r="F154" i="6"/>
  <c r="BO78" i="2"/>
  <c r="G79" i="4"/>
  <c r="G79" i="6" s="1"/>
  <c r="O80" i="4"/>
  <c r="D119" i="7"/>
  <c r="D155" i="6"/>
  <c r="C79" i="4"/>
  <c r="F79" i="4" s="1"/>
  <c r="L80" i="4"/>
  <c r="M155" i="4"/>
  <c r="D154" i="4"/>
  <c r="BN79" i="2" l="1"/>
  <c r="B149" i="4"/>
  <c r="B115" i="7" s="1"/>
  <c r="J150" i="4"/>
  <c r="F155" i="6"/>
  <c r="D234" i="7"/>
  <c r="C80" i="4"/>
  <c r="F80" i="4" s="1"/>
  <c r="L81" i="4"/>
  <c r="G80" i="4"/>
  <c r="G80" i="6" s="1"/>
  <c r="O81" i="4"/>
  <c r="BO79" i="2"/>
  <c r="D156" i="6"/>
  <c r="D120" i="7"/>
  <c r="D155" i="4"/>
  <c r="M156" i="4"/>
  <c r="BN80" i="2" l="1"/>
  <c r="B150" i="4"/>
  <c r="B116" i="7" s="1"/>
  <c r="J151" i="4"/>
  <c r="D157" i="6"/>
  <c r="D121" i="7"/>
  <c r="L83" i="4"/>
  <c r="C83" i="4" s="1"/>
  <c r="F83" i="4" s="1"/>
  <c r="L82" i="4"/>
  <c r="C82" i="4" s="1"/>
  <c r="F82" i="4" s="1"/>
  <c r="L95" i="4"/>
  <c r="C81" i="4"/>
  <c r="F81" i="4" s="1"/>
  <c r="F156" i="6"/>
  <c r="D235" i="7"/>
  <c r="BO80" i="2"/>
  <c r="D156" i="4"/>
  <c r="M169" i="4"/>
  <c r="G81" i="4"/>
  <c r="G81" i="6" s="1"/>
  <c r="O82" i="4"/>
  <c r="G82" i="4" s="1"/>
  <c r="G82" i="6" s="1"/>
  <c r="O83" i="4"/>
  <c r="O95" i="4"/>
  <c r="BN82" i="2" l="1"/>
  <c r="BN83" i="2"/>
  <c r="BN81" i="2"/>
  <c r="B151" i="4"/>
  <c r="B117" i="7" s="1"/>
  <c r="J152" i="4"/>
  <c r="BO81" i="2"/>
  <c r="C95" i="4"/>
  <c r="F95" i="4" s="1"/>
  <c r="L96" i="4"/>
  <c r="G95" i="4"/>
  <c r="G95" i="6" s="1"/>
  <c r="O96" i="4"/>
  <c r="G96" i="4" s="1"/>
  <c r="G96" i="6" s="1"/>
  <c r="D169" i="4"/>
  <c r="M170" i="4"/>
  <c r="BO82" i="2"/>
  <c r="G83" i="4"/>
  <c r="G83" i="6" s="1"/>
  <c r="O97" i="4"/>
  <c r="D158" i="6"/>
  <c r="D122" i="7"/>
  <c r="BO83" i="2"/>
  <c r="D236" i="7"/>
  <c r="F157" i="6"/>
  <c r="BN86" i="2" l="1"/>
  <c r="B152" i="4"/>
  <c r="B118" i="7" s="1"/>
  <c r="J153" i="4"/>
  <c r="C96" i="4"/>
  <c r="F96" i="4" s="1"/>
  <c r="L97" i="4"/>
  <c r="G97" i="4"/>
  <c r="G97" i="6" s="1"/>
  <c r="O98" i="4"/>
  <c r="D170" i="4"/>
  <c r="M171" i="4"/>
  <c r="D171" i="4" s="1"/>
  <c r="F158" i="6"/>
  <c r="D237" i="7"/>
  <c r="D241" i="7" s="1"/>
  <c r="I181" i="27" s="1"/>
  <c r="BO86" i="2"/>
  <c r="BN87" i="2" l="1"/>
  <c r="B153" i="4"/>
  <c r="B119" i="7" s="1"/>
  <c r="J154" i="4"/>
  <c r="G98" i="4"/>
  <c r="G98" i="6" s="1"/>
  <c r="O99" i="4"/>
  <c r="L98" i="4"/>
  <c r="C97" i="4"/>
  <c r="F97" i="4" s="1"/>
  <c r="BO87" i="2"/>
  <c r="BN88" i="2" l="1"/>
  <c r="B154" i="4"/>
  <c r="B120" i="7" s="1"/>
  <c r="J155" i="4"/>
  <c r="BO88" i="2"/>
  <c r="G99" i="4"/>
  <c r="G99" i="6" s="1"/>
  <c r="O101" i="4"/>
  <c r="O100" i="4"/>
  <c r="L99" i="4"/>
  <c r="C98" i="4"/>
  <c r="F98" i="4" s="1"/>
  <c r="BN89" i="2" l="1"/>
  <c r="B155" i="4"/>
  <c r="B121" i="7" s="1"/>
  <c r="J156" i="4"/>
  <c r="G100" i="4"/>
  <c r="G100" i="6" s="1"/>
  <c r="O102" i="4"/>
  <c r="G101" i="4"/>
  <c r="G101" i="6" s="1"/>
  <c r="O103" i="4"/>
  <c r="O105" i="4" s="1"/>
  <c r="G105" i="4" s="1"/>
  <c r="G105" i="6" s="1"/>
  <c r="BO89" i="2"/>
  <c r="C99" i="4"/>
  <c r="F99" i="4" s="1"/>
  <c r="L100" i="4"/>
  <c r="BN90" i="2" l="1"/>
  <c r="B156" i="4"/>
  <c r="B122" i="7" s="1"/>
  <c r="B241" i="7" s="1"/>
  <c r="J169" i="4"/>
  <c r="G102" i="4"/>
  <c r="G102" i="6" s="1"/>
  <c r="O104" i="4"/>
  <c r="G104" i="4" s="1"/>
  <c r="G104" i="6" s="1"/>
  <c r="L101" i="4"/>
  <c r="C100" i="4"/>
  <c r="F100" i="4" s="1"/>
  <c r="G103" i="4"/>
  <c r="G103" i="6" s="1"/>
  <c r="BO90" i="2"/>
  <c r="BN91" i="2" l="1"/>
  <c r="B169" i="4"/>
  <c r="J170" i="4"/>
  <c r="I186" i="27"/>
  <c r="D183" i="27" s="1"/>
  <c r="D390" i="27" s="1"/>
  <c r="A241" i="7" a="1"/>
  <c r="A241" i="7" s="1"/>
  <c r="C183" i="27" s="1"/>
  <c r="BO91" i="2"/>
  <c r="L102" i="4"/>
  <c r="C101" i="4"/>
  <c r="F101" i="4" s="1"/>
  <c r="O106" i="4"/>
  <c r="BN92" i="2" l="1"/>
  <c r="F183" i="27"/>
  <c r="F390" i="27" s="1"/>
  <c r="B170" i="4"/>
  <c r="J171" i="4"/>
  <c r="B171" i="4" s="1"/>
  <c r="G106" i="4"/>
  <c r="G106" i="6" s="1"/>
  <c r="O107" i="4"/>
  <c r="BO92" i="2"/>
  <c r="C102" i="4"/>
  <c r="F102" i="4" s="1"/>
  <c r="L103" i="4"/>
  <c r="L104" i="4" s="1"/>
  <c r="BN93" i="2" l="1"/>
  <c r="BO93" i="2" s="1"/>
  <c r="E406" i="27"/>
  <c r="E416" i="27"/>
  <c r="E417" i="27" s="1"/>
  <c r="E418" i="27" s="1"/>
  <c r="E409" i="27"/>
  <c r="E413" i="27"/>
  <c r="E412" i="27"/>
  <c r="E411" i="27"/>
  <c r="E410" i="27"/>
  <c r="E408" i="27"/>
  <c r="E407" i="27"/>
  <c r="C104" i="4"/>
  <c r="F104" i="4" s="1"/>
  <c r="L105" i="4"/>
  <c r="C105" i="4" s="1"/>
  <c r="F105" i="4" s="1"/>
  <c r="C103" i="4"/>
  <c r="F103" i="4" s="1"/>
  <c r="G107" i="4"/>
  <c r="G107" i="6" s="1"/>
  <c r="O108" i="4"/>
  <c r="BN94" i="2" l="1"/>
  <c r="G108" i="4"/>
  <c r="G108" i="6" s="1"/>
  <c r="O109" i="4"/>
  <c r="L106" i="4"/>
  <c r="BN96" i="2"/>
  <c r="BO94" i="2"/>
  <c r="BO96" i="2" l="1"/>
  <c r="L107" i="4"/>
  <c r="C106" i="4"/>
  <c r="F106" i="4" s="1"/>
  <c r="G109" i="4"/>
  <c r="G109" i="6" s="1"/>
  <c r="O110" i="4"/>
  <c r="BN97" i="2" l="1"/>
  <c r="BO97" i="2"/>
  <c r="L108" i="4"/>
  <c r="C107" i="4"/>
  <c r="F107" i="4" s="1"/>
  <c r="G110" i="4"/>
  <c r="G110" i="6" s="1"/>
  <c r="O111" i="4"/>
  <c r="BN98" i="2" l="1"/>
  <c r="BO98" i="2"/>
  <c r="L109" i="4"/>
  <c r="C108" i="4"/>
  <c r="F108" i="4" s="1"/>
  <c r="O112" i="4"/>
  <c r="G111" i="4"/>
  <c r="G111" i="6" s="1"/>
  <c r="BN99" i="2" l="1"/>
  <c r="C109" i="4"/>
  <c r="F109" i="4" s="1"/>
  <c r="L110" i="4"/>
  <c r="BO99" i="2"/>
  <c r="O113" i="4"/>
  <c r="G112" i="4"/>
  <c r="G112" i="6" s="1"/>
  <c r="BN100" i="2" l="1"/>
  <c r="L111" i="4"/>
  <c r="C110" i="4"/>
  <c r="F110" i="4" s="1"/>
  <c r="O114" i="4"/>
  <c r="G113" i="4"/>
  <c r="G113" i="6" s="1"/>
  <c r="BO100" i="2"/>
  <c r="BN101" i="2" l="1"/>
  <c r="O115" i="4"/>
  <c r="G114" i="4"/>
  <c r="G114" i="6" s="1"/>
  <c r="BO101" i="2"/>
  <c r="L112" i="4"/>
  <c r="C111" i="4"/>
  <c r="F111" i="4" s="1"/>
  <c r="BN102" i="2" l="1"/>
  <c r="BO102" i="2" s="1"/>
  <c r="C112" i="4"/>
  <c r="F112" i="4" s="1"/>
  <c r="L113" i="4"/>
  <c r="G115" i="4"/>
  <c r="G115" i="6" s="1"/>
  <c r="O116" i="4"/>
  <c r="BN103" i="2" l="1"/>
  <c r="BO103" i="2" s="1"/>
  <c r="O130" i="4"/>
  <c r="G116" i="4"/>
  <c r="G116" i="6" s="1"/>
  <c r="C113" i="4"/>
  <c r="F113" i="4" s="1"/>
  <c r="L114" i="4"/>
  <c r="BN104" i="2" l="1"/>
  <c r="BO104" i="2" s="1"/>
  <c r="L115" i="4"/>
  <c r="C114" i="4"/>
  <c r="F114" i="4" s="1"/>
  <c r="G130" i="4"/>
  <c r="G132" i="6" s="1"/>
  <c r="O131" i="4"/>
  <c r="BN105" i="2" l="1"/>
  <c r="BO105" i="2"/>
  <c r="G131" i="4"/>
  <c r="O132" i="4"/>
  <c r="C115" i="4"/>
  <c r="F115" i="4" s="1"/>
  <c r="L116" i="4"/>
  <c r="BN106" i="2" l="1"/>
  <c r="G132" i="4"/>
  <c r="O133" i="4"/>
  <c r="L130" i="4"/>
  <c r="C116" i="4"/>
  <c r="F116" i="4" s="1"/>
  <c r="BO106" i="2"/>
  <c r="BN107" i="2" l="1"/>
  <c r="BO107" i="2"/>
  <c r="C130" i="4"/>
  <c r="F130" i="4" s="1"/>
  <c r="L131" i="4"/>
  <c r="G133" i="4"/>
  <c r="O134" i="4"/>
  <c r="BN110" i="2" l="1"/>
  <c r="BO110" i="2"/>
  <c r="G134" i="4"/>
  <c r="O135" i="4"/>
  <c r="L132" i="4"/>
  <c r="C131" i="4"/>
  <c r="F131" i="4" s="1"/>
  <c r="BN111" i="2" l="1"/>
  <c r="O136" i="4"/>
  <c r="G135" i="4"/>
  <c r="BO111" i="2"/>
  <c r="L133" i="4"/>
  <c r="C132" i="4"/>
  <c r="F132" i="4" s="1"/>
  <c r="BN112" i="2" l="1"/>
  <c r="BO112" i="2"/>
  <c r="C133" i="4"/>
  <c r="F133" i="4" s="1"/>
  <c r="L134" i="4"/>
  <c r="G136" i="4"/>
  <c r="O137" i="4"/>
  <c r="BN113" i="2" l="1"/>
  <c r="BO113" i="2"/>
  <c r="O138" i="4"/>
  <c r="G137" i="4"/>
  <c r="L135" i="4"/>
  <c r="C134" i="4"/>
  <c r="F134" i="4" s="1"/>
  <c r="BN114" i="2" l="1"/>
  <c r="G138" i="4"/>
  <c r="O139" i="4"/>
  <c r="BO114" i="2"/>
  <c r="L136" i="4"/>
  <c r="C135" i="4"/>
  <c r="F135" i="4" s="1"/>
  <c r="BN115" i="2" l="1"/>
  <c r="BO115" i="2"/>
  <c r="G139" i="4"/>
  <c r="O140" i="4"/>
  <c r="L137" i="4"/>
  <c r="C136" i="4"/>
  <c r="F136" i="4" s="1"/>
  <c r="BN116" i="2" l="1"/>
  <c r="G140" i="4"/>
  <c r="O141" i="4"/>
  <c r="BO116" i="2"/>
  <c r="L138" i="4"/>
  <c r="C137" i="4"/>
  <c r="F137" i="4" s="1"/>
  <c r="BN117" i="2" l="1"/>
  <c r="BO117" i="2"/>
  <c r="G141" i="4"/>
  <c r="O142" i="4"/>
  <c r="C138" i="4"/>
  <c r="F138" i="4" s="1"/>
  <c r="L139" i="4"/>
  <c r="BN118" i="2" l="1"/>
  <c r="G142" i="4"/>
  <c r="O143" i="4"/>
  <c r="L140" i="4"/>
  <c r="C139" i="4"/>
  <c r="F139" i="4" s="1"/>
  <c r="BO118" i="2"/>
  <c r="BN119" i="2" l="1"/>
  <c r="C140" i="4"/>
  <c r="F140" i="4" s="1"/>
  <c r="L141" i="4"/>
  <c r="G143" i="4"/>
  <c r="O144" i="4"/>
  <c r="BO119" i="2"/>
  <c r="BN120" i="2" l="1"/>
  <c r="O145" i="4"/>
  <c r="G144" i="4"/>
  <c r="L142" i="4"/>
  <c r="C141" i="4"/>
  <c r="F141" i="4" s="1"/>
  <c r="BO120" i="2"/>
  <c r="BN121" i="2" l="1"/>
  <c r="L143" i="4"/>
  <c r="C142" i="4"/>
  <c r="F142" i="4" s="1"/>
  <c r="BO121" i="2"/>
  <c r="G145" i="4"/>
  <c r="O149" i="4"/>
  <c r="BN122" i="2" l="1"/>
  <c r="BO122" i="2"/>
  <c r="G149" i="4"/>
  <c r="G151" i="6" s="1"/>
  <c r="O150" i="4"/>
  <c r="L144" i="4"/>
  <c r="C143" i="4"/>
  <c r="F143" i="4" s="1"/>
  <c r="BN123" i="2" l="1"/>
  <c r="G150" i="4"/>
  <c r="G152" i="6" s="1"/>
  <c r="O151" i="4"/>
  <c r="BO123" i="2"/>
  <c r="C144" i="4"/>
  <c r="F144" i="4" s="1"/>
  <c r="L145" i="4"/>
  <c r="BN124" i="2" l="1"/>
  <c r="L149" i="4"/>
  <c r="C145" i="4"/>
  <c r="F145" i="4" s="1"/>
  <c r="O152" i="4"/>
  <c r="G151" i="4"/>
  <c r="G153" i="6" s="1"/>
  <c r="BO124" i="2"/>
  <c r="BN125" i="2" l="1"/>
  <c r="G152" i="4"/>
  <c r="G154" i="6" s="1"/>
  <c r="O153" i="4"/>
  <c r="BO125" i="2"/>
  <c r="C149" i="4"/>
  <c r="F149" i="4" s="1"/>
  <c r="L150" i="4"/>
  <c r="BN129" i="2" l="1"/>
  <c r="L151" i="4"/>
  <c r="C150" i="4"/>
  <c r="F150" i="4" s="1"/>
  <c r="O154" i="4"/>
  <c r="G153" i="4"/>
  <c r="G155" i="6" s="1"/>
  <c r="BO129" i="2"/>
  <c r="BN130" i="2" l="1"/>
  <c r="G154" i="4"/>
  <c r="G156" i="6" s="1"/>
  <c r="O155" i="4"/>
  <c r="BO130" i="2"/>
  <c r="L152" i="4"/>
  <c r="C151" i="4"/>
  <c r="F151" i="4" s="1"/>
  <c r="BN131" i="2" l="1"/>
  <c r="BO131" i="2"/>
  <c r="O156" i="4"/>
  <c r="G155" i="4"/>
  <c r="G157" i="6" s="1"/>
  <c r="L153" i="4"/>
  <c r="C152" i="4"/>
  <c r="F152" i="4" s="1"/>
  <c r="BN132" i="2" l="1"/>
  <c r="G156" i="4"/>
  <c r="G158" i="6" s="1"/>
  <c r="O169" i="4"/>
  <c r="BO132" i="2"/>
  <c r="L154" i="4"/>
  <c r="C153" i="4"/>
  <c r="F153" i="4" s="1"/>
  <c r="BN133" i="2" l="1"/>
  <c r="BO133" i="2" s="1"/>
  <c r="G169" i="4"/>
  <c r="O170" i="4"/>
  <c r="L155" i="4"/>
  <c r="C154" i="4"/>
  <c r="F154" i="4" s="1"/>
  <c r="BN134" i="2" l="1"/>
  <c r="BO134" i="2" s="1"/>
  <c r="C155" i="4"/>
  <c r="F155" i="4" s="1"/>
  <c r="L156" i="4"/>
  <c r="O171" i="4"/>
  <c r="G171" i="4" s="1"/>
  <c r="G170" i="4"/>
  <c r="BN135" i="2" l="1"/>
  <c r="BO135" i="2" s="1"/>
  <c r="L169" i="4"/>
  <c r="C156" i="4"/>
  <c r="F156" i="4" s="1"/>
  <c r="BN136" i="2" l="1"/>
  <c r="BO136" i="2" s="1"/>
  <c r="C169" i="4"/>
  <c r="F169" i="4" s="1"/>
  <c r="L170" i="4"/>
  <c r="BN145" i="2" l="1"/>
  <c r="BO145" i="2" s="1"/>
  <c r="C170" i="4"/>
  <c r="F170" i="4" s="1"/>
  <c r="L171" i="4"/>
  <c r="C171" i="4" s="1"/>
  <c r="F171" i="4" s="1"/>
  <c r="BN147" i="2" l="1"/>
  <c r="BO147" i="2" s="1"/>
  <c r="BN146" i="2"/>
  <c r="BO146"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<sst xmlns="http://schemas.openxmlformats.org/spreadsheetml/2006/main" count="4629" uniqueCount="2003">
  <si>
    <t>Standard Rates</t>
  </si>
  <si>
    <t>50sqm Concrete paving</t>
  </si>
  <si>
    <t>Floor tiles</t>
  </si>
  <si>
    <t>Carpets</t>
  </si>
  <si>
    <t>Eaves</t>
  </si>
  <si>
    <t>Shepparton</t>
  </si>
  <si>
    <t>Echuca</t>
  </si>
  <si>
    <t>Lifestyle</t>
  </si>
  <si>
    <t>Single storey</t>
  </si>
  <si>
    <t>6 Months</t>
  </si>
  <si>
    <t>Floor Tiles</t>
  </si>
  <si>
    <t>Wastage</t>
  </si>
  <si>
    <t>Total area</t>
  </si>
  <si>
    <t>List price</t>
  </si>
  <si>
    <t>per m2</t>
  </si>
  <si>
    <t>Adelaide 18</t>
  </si>
  <si>
    <t>Adelaide 21</t>
  </si>
  <si>
    <t>Adelaide 22A</t>
  </si>
  <si>
    <t>Adelaide 22B</t>
  </si>
  <si>
    <t>Adelaide 24</t>
  </si>
  <si>
    <t>Ashfield 24</t>
  </si>
  <si>
    <t>Ashfield 30</t>
  </si>
  <si>
    <t>Ashfield 34</t>
  </si>
  <si>
    <t>Ashley 19</t>
  </si>
  <si>
    <t>Ashley 22</t>
  </si>
  <si>
    <t>Ashley 24</t>
  </si>
  <si>
    <t>Ashley 25</t>
  </si>
  <si>
    <t>Ashley 25A</t>
  </si>
  <si>
    <t>Ashley 26</t>
  </si>
  <si>
    <t>Ashley 27</t>
  </si>
  <si>
    <t>Ashley 28</t>
  </si>
  <si>
    <t>Ballina 30</t>
  </si>
  <si>
    <t>Bayview 23</t>
  </si>
  <si>
    <t>Bayview 26</t>
  </si>
  <si>
    <t>Bayview 30</t>
  </si>
  <si>
    <t>Bondi 25</t>
  </si>
  <si>
    <t>Bondi 31</t>
  </si>
  <si>
    <t>Bondi 36</t>
  </si>
  <si>
    <t>Cambridge 22</t>
  </si>
  <si>
    <t>Cambridge 24</t>
  </si>
  <si>
    <t>Cambridge 26</t>
  </si>
  <si>
    <t>Cambridge 30</t>
  </si>
  <si>
    <t>Duneed 22</t>
  </si>
  <si>
    <t>Duneed 23</t>
  </si>
  <si>
    <t>Duneed 24</t>
  </si>
  <si>
    <t>Duneed 25</t>
  </si>
  <si>
    <t>Duneed 30</t>
  </si>
  <si>
    <t>Eclipse 23</t>
  </si>
  <si>
    <t>Eclipse 26</t>
  </si>
  <si>
    <t>Eclipse 28</t>
  </si>
  <si>
    <t>Hamilton 24</t>
  </si>
  <si>
    <t>Hamilton 29</t>
  </si>
  <si>
    <t>Hamilton 34</t>
  </si>
  <si>
    <t>Launceston 21</t>
  </si>
  <si>
    <t>Launceston 22</t>
  </si>
  <si>
    <t>Launceston 24</t>
  </si>
  <si>
    <t>Manly 20</t>
  </si>
  <si>
    <t>Manly 22</t>
  </si>
  <si>
    <t>Manly 24</t>
  </si>
  <si>
    <t>Manly 25</t>
  </si>
  <si>
    <t>Manly 30</t>
  </si>
  <si>
    <t>Manly 36</t>
  </si>
  <si>
    <t>Parkdale 24</t>
  </si>
  <si>
    <t>Parkdale 30</t>
  </si>
  <si>
    <t>Parkdale 33</t>
  </si>
  <si>
    <t>Parkview 24 - 3 Bed</t>
  </si>
  <si>
    <t>Parkview 24 - 4 Bed</t>
  </si>
  <si>
    <t>Parkview 26</t>
  </si>
  <si>
    <t>Parkview 28</t>
  </si>
  <si>
    <t>Parkview 30</t>
  </si>
  <si>
    <t>Parkview 31</t>
  </si>
  <si>
    <t>Santa Barbara 20</t>
  </si>
  <si>
    <t>Santa Barbara 22</t>
  </si>
  <si>
    <t>Santa Barbara 25</t>
  </si>
  <si>
    <t>Santa Barbara 26</t>
  </si>
  <si>
    <t>Homestead</t>
  </si>
  <si>
    <t>Inglewood 24</t>
  </si>
  <si>
    <t>Inglewood 26</t>
  </si>
  <si>
    <t>Inglewood 29</t>
  </si>
  <si>
    <t>Inglewood 31</t>
  </si>
  <si>
    <t>Inglewood 34</t>
  </si>
  <si>
    <t>Inglewood 38</t>
  </si>
  <si>
    <t>Maldon 27</t>
  </si>
  <si>
    <t>Palmerston 28</t>
  </si>
  <si>
    <t>Palmerston 35</t>
  </si>
  <si>
    <t>Sandown 23</t>
  </si>
  <si>
    <t>Sandown 26</t>
  </si>
  <si>
    <t>Sandown 28 (30)</t>
  </si>
  <si>
    <t>Sandown 32</t>
  </si>
  <si>
    <t>Winton 24</t>
  </si>
  <si>
    <t>Winton 28</t>
  </si>
  <si>
    <t>Winton 32</t>
  </si>
  <si>
    <t>Narrow block</t>
  </si>
  <si>
    <t>Albany 17</t>
  </si>
  <si>
    <t>Albany 18</t>
  </si>
  <si>
    <t>Albany 20</t>
  </si>
  <si>
    <t>Avoca 16</t>
  </si>
  <si>
    <t>Avoca 19</t>
  </si>
  <si>
    <t>Avoca 20</t>
  </si>
  <si>
    <t>Belinda 16</t>
  </si>
  <si>
    <t>Belinda 18</t>
  </si>
  <si>
    <t>Belinda 20</t>
  </si>
  <si>
    <t>Fairfield 18</t>
  </si>
  <si>
    <t>Fairfield 19</t>
  </si>
  <si>
    <t>Fairfield 20</t>
  </si>
  <si>
    <t>Melrose 19</t>
  </si>
  <si>
    <t>Stratford 16A</t>
  </si>
  <si>
    <t>Stratford 16B</t>
  </si>
  <si>
    <t>20 x 20 Block</t>
  </si>
  <si>
    <t>Belmont 22A</t>
  </si>
  <si>
    <t>Belmont 22B</t>
  </si>
  <si>
    <t>Belmont 24A</t>
  </si>
  <si>
    <t>Belmont 24B</t>
  </si>
  <si>
    <t>Investor</t>
  </si>
  <si>
    <t>Double storey</t>
  </si>
  <si>
    <t>Eltham 31</t>
  </si>
  <si>
    <t>Eltham 35</t>
  </si>
  <si>
    <t>Eltham 39</t>
  </si>
  <si>
    <t>Flinders 27</t>
  </si>
  <si>
    <t>Flinders 31</t>
  </si>
  <si>
    <t>Flinders 33</t>
  </si>
  <si>
    <t>Harcourt 35</t>
  </si>
  <si>
    <t>Harcourt 39</t>
  </si>
  <si>
    <t>Harcourt 45</t>
  </si>
  <si>
    <t>Kingston 24</t>
  </si>
  <si>
    <t>Kingston 27</t>
  </si>
  <si>
    <t>Kingston 33</t>
  </si>
  <si>
    <t>Logan 21</t>
  </si>
  <si>
    <t>Logan 31</t>
  </si>
  <si>
    <t>Base House Plan</t>
  </si>
  <si>
    <t>Price per sqm</t>
  </si>
  <si>
    <t>Tiles</t>
  </si>
  <si>
    <t>Rate per sqm for the custom plan</t>
  </si>
  <si>
    <t>Enter the figures manually</t>
  </si>
  <si>
    <t>Unit</t>
  </si>
  <si>
    <t xml:space="preserve">Base </t>
  </si>
  <si>
    <t>Custom</t>
  </si>
  <si>
    <t>Dwelling area</t>
  </si>
  <si>
    <t>M2</t>
  </si>
  <si>
    <t>Garage area</t>
  </si>
  <si>
    <t>Porch area</t>
  </si>
  <si>
    <t>Outdoor living area</t>
  </si>
  <si>
    <t>Porch concrete footing</t>
  </si>
  <si>
    <t>LM</t>
  </si>
  <si>
    <t>Outdoor living footing</t>
  </si>
  <si>
    <t>Brick pier</t>
  </si>
  <si>
    <t>Each</t>
  </si>
  <si>
    <t>90X90 Steel column</t>
  </si>
  <si>
    <t>Hip length</t>
  </si>
  <si>
    <t>Valley length</t>
  </si>
  <si>
    <t>Ridge length</t>
  </si>
  <si>
    <t>Perimeter  walls</t>
  </si>
  <si>
    <t>Internal walls</t>
  </si>
  <si>
    <t>Plaster bulkheads</t>
  </si>
  <si>
    <t>Kitchen wall bench</t>
  </si>
  <si>
    <t>Kitchen overhead cupboards</t>
  </si>
  <si>
    <t>Kitchen island bench</t>
  </si>
  <si>
    <t>Laundry bench</t>
  </si>
  <si>
    <t>Internal swing doors</t>
  </si>
  <si>
    <t>Internal double swing doors</t>
  </si>
  <si>
    <t>Internal cavity sliders</t>
  </si>
  <si>
    <t>Internal double cavity sliders</t>
  </si>
  <si>
    <t>Windows</t>
  </si>
  <si>
    <t>External swing door - Entry</t>
  </si>
  <si>
    <t>External swing door - Garage</t>
  </si>
  <si>
    <t>Sliding doors</t>
  </si>
  <si>
    <t>Built in robes/linens</t>
  </si>
  <si>
    <t>Up to 1800mm wide</t>
  </si>
  <si>
    <t>1800mm to 2500mm  wide</t>
  </si>
  <si>
    <t>2500mm to 3000mm  wide</t>
  </si>
  <si>
    <t>Linen shelving - 4 shelves</t>
  </si>
  <si>
    <t>Robe shelving with hanging rail</t>
  </si>
  <si>
    <t>End panels</t>
  </si>
  <si>
    <t>Total</t>
  </si>
  <si>
    <t>SHEPPARTON</t>
  </si>
  <si>
    <t>HOUSE DESIGN</t>
  </si>
  <si>
    <t>BASE PRICE *</t>
  </si>
  <si>
    <t>50sqm NATURAL CONCRETE</t>
  </si>
  <si>
    <t>LIFESTYLE FLOOR TILES</t>
  </si>
  <si>
    <t>LIFESTYLE CARPETS</t>
  </si>
  <si>
    <t>PACKAGE PRICE *50sqm NATURAL CONCRETE          *CARPET          *TILES</t>
  </si>
  <si>
    <t>PRICE TO ADD EAVES</t>
  </si>
  <si>
    <t>Promotional</t>
  </si>
  <si>
    <t>50sqm natural concrete</t>
  </si>
  <si>
    <t>Tiles per sqm</t>
  </si>
  <si>
    <t>Carpet per sqm</t>
  </si>
  <si>
    <t>Eaves per lm</t>
  </si>
  <si>
    <t>BASE PRICE INCLUDES:</t>
  </si>
  <si>
    <t>BASE PRICE DOES NOT INCLUDE:</t>
  </si>
  <si>
    <t>*SEWER, STORMWATER AND POWER</t>
  </si>
  <si>
    <t xml:space="preserve">*SITE PIERING </t>
  </si>
  <si>
    <t>TO A 700m2 BLOCK</t>
  </si>
  <si>
    <t>*RAISED PORTICO</t>
  </si>
  <si>
    <t xml:space="preserve">*20m TEMP FENCING </t>
  </si>
  <si>
    <t>*TILES</t>
  </si>
  <si>
    <t>*'MD' CLASS SLAB</t>
  </si>
  <si>
    <t>*CARPET</t>
  </si>
  <si>
    <t>*EXTERNAL PAVING</t>
  </si>
  <si>
    <t>*EAVES</t>
  </si>
  <si>
    <t>60sqm NATURAL CONCRETE</t>
  </si>
  <si>
    <t>ASPIRE FLOOR TILES</t>
  </si>
  <si>
    <t>ASPIRE CARPET</t>
  </si>
  <si>
    <t>ROLLER BLINDS TO ALL WINDOWS AND SLIDING DOORS</t>
  </si>
  <si>
    <t>TV ANTENNA</t>
  </si>
  <si>
    <t>SPLIT SYSTEM TO FAMILY ROOM</t>
  </si>
  <si>
    <t xml:space="preserve">WALL MOUNTED CLOTHESLINE </t>
  </si>
  <si>
    <t>COLORBOND LETTER BOX</t>
  </si>
  <si>
    <t xml:space="preserve">PACKAGE PRICE </t>
  </si>
  <si>
    <t>60sqm natural concrete</t>
  </si>
  <si>
    <t>Aspire Tiles per sqm</t>
  </si>
  <si>
    <t>Aspire Carpet per sqm</t>
  </si>
  <si>
    <t>INCLUDED</t>
  </si>
  <si>
    <t>Prices based on a Standard Façade</t>
  </si>
  <si>
    <t>ECHUCA</t>
  </si>
  <si>
    <t>1.Price list</t>
  </si>
  <si>
    <t>2.House plan</t>
  </si>
  <si>
    <t>2.House design</t>
  </si>
  <si>
    <t>Base price</t>
  </si>
  <si>
    <t xml:space="preserve">Echuca </t>
  </si>
  <si>
    <t>Please pick Travel area</t>
  </si>
  <si>
    <t>TRAVEL AREA</t>
  </si>
  <si>
    <t>Area</t>
  </si>
  <si>
    <t>50m2 paving</t>
  </si>
  <si>
    <t>ALEXANDRA</t>
  </si>
  <si>
    <t>AVENEL</t>
  </si>
  <si>
    <t>BARHAM</t>
  </si>
  <si>
    <t>BENALLA</t>
  </si>
  <si>
    <t>COBRAM</t>
  </si>
  <si>
    <t>COHUNA</t>
  </si>
  <si>
    <t>DENILIQUIN</t>
  </si>
  <si>
    <t>DOOKIE</t>
  </si>
  <si>
    <t>EUROA</t>
  </si>
  <si>
    <t>FINLEY</t>
  </si>
  <si>
    <t>KATANDRA</t>
  </si>
  <si>
    <t>KIALLA</t>
  </si>
  <si>
    <t>KOONDROOK</t>
  </si>
  <si>
    <t>POA</t>
  </si>
  <si>
    <t>KYABRAM</t>
  </si>
  <si>
    <t>MANSFIELD</t>
  </si>
  <si>
    <t>MOAMA</t>
  </si>
  <si>
    <t>MULWALA</t>
  </si>
  <si>
    <t>MURCHISON</t>
  </si>
  <si>
    <t>NAGAMBIE</t>
  </si>
  <si>
    <t>NATHALIA</t>
  </si>
  <si>
    <t>NUMURKAH</t>
  </si>
  <si>
    <t>ROCHESTER</t>
  </si>
  <si>
    <t>RUSHWORTH</t>
  </si>
  <si>
    <t>SEYMOUR</t>
  </si>
  <si>
    <t>STRATHMERTON</t>
  </si>
  <si>
    <t>STANHOPE</t>
  </si>
  <si>
    <t>TATURA</t>
  </si>
  <si>
    <t>TOCUMWAL</t>
  </si>
  <si>
    <t>TONGALA</t>
  </si>
  <si>
    <t>TUNGAMAH</t>
  </si>
  <si>
    <t>YARRAWONGA</t>
  </si>
  <si>
    <t>YEA</t>
  </si>
  <si>
    <t>WORKINGS</t>
  </si>
  <si>
    <t>Orginal</t>
  </si>
  <si>
    <t>New</t>
  </si>
  <si>
    <t>Item</t>
  </si>
  <si>
    <t>#</t>
  </si>
  <si>
    <t>$</t>
  </si>
  <si>
    <t>TOTAL</t>
  </si>
  <si>
    <t>COST</t>
  </si>
  <si>
    <t>Basin to WC</t>
  </si>
  <si>
    <t>Downgrade to Aspire tapware, towel rail and toilet roll holder</t>
  </si>
  <si>
    <t>Bathroom Tiles - Upgrade</t>
  </si>
  <si>
    <t>Ensuite Tiles - Upgrade</t>
  </si>
  <si>
    <t>Extra Tiles - Ensuite</t>
  </si>
  <si>
    <t>Bathroom Tiles - Extened</t>
  </si>
  <si>
    <t>ABN: 50 105 889 745</t>
  </si>
  <si>
    <t>7961 Goulburn Valley Hwy</t>
  </si>
  <si>
    <t xml:space="preserve">Telephone 5823 1859  </t>
  </si>
  <si>
    <t>P O BOX 922</t>
  </si>
  <si>
    <t>Display Home  5832 6082</t>
  </si>
  <si>
    <t>SHEPPARTON  VIC  3632</t>
  </si>
  <si>
    <t>DB-U 9856</t>
  </si>
  <si>
    <t>Dear</t>
  </si>
  <si>
    <t>RE: PRELIMINARY PRICING</t>
  </si>
  <si>
    <t xml:space="preserve">Thank you for your interest in building a new home with Cavalier Homes Goulburn Valley, we greatly </t>
  </si>
  <si>
    <t>appreciate the opportunity to work with you designing and building your new home.</t>
  </si>
  <si>
    <t>Please find attached the preliminary pricing to build a house on your land at</t>
  </si>
  <si>
    <t>This preliminary pricing is provided as a guide and is subject to review after 30 days or before this</t>
  </si>
  <si>
    <t>time if a new price list is released in the interim.</t>
  </si>
  <si>
    <t>If you are pleased with the preliminary price, we can then provide a firm price once you have paid an</t>
  </si>
  <si>
    <t>initial preliminary service fee of $2,000 - (this will secure the price as per the terms and conditions</t>
  </si>
  <si>
    <t>of the Cavalier Homes Goulburn Valley Ground Work document which we will discuss further should</t>
  </si>
  <si>
    <t>you wish to proceed to the next stage).</t>
  </si>
  <si>
    <t>Once the initial preliminary service fee is received, we will arrange to have working drawings drafted</t>
  </si>
  <si>
    <t xml:space="preserve">which will show you fully detailed plan of the interior and exterior of your home.  </t>
  </si>
  <si>
    <t>We will also engage an independent, qualified engineer to provide a slab design based on your home</t>
  </si>
  <si>
    <t>design and the results of the soil test inspection carried out on your block.</t>
  </si>
  <si>
    <t>As discussed, we will provide you with a final fixed price once the following are completed:</t>
  </si>
  <si>
    <t>The colour selections</t>
  </si>
  <si>
    <t xml:space="preserve">Working drawings </t>
  </si>
  <si>
    <t>Engineer report of soil test &amp; slab design</t>
  </si>
  <si>
    <t>I look forward to assisting you with your building project and will be in contact to discuss this initial</t>
  </si>
  <si>
    <t>preliminary pricing.</t>
  </si>
  <si>
    <t>Yours faithfully</t>
  </si>
  <si>
    <t>Sales Consultant - Cavalier Homes Goulburn Valley Pty Ltd</t>
  </si>
  <si>
    <t>SALES ESTIMATE SHEET</t>
  </si>
  <si>
    <t xml:space="preserve">Client/s Name: </t>
  </si>
  <si>
    <t>Client/s Address:</t>
  </si>
  <si>
    <t>Client/s Phone Number:</t>
  </si>
  <si>
    <t>Client/s Email Address:</t>
  </si>
  <si>
    <t>Site Address:</t>
  </si>
  <si>
    <t>LIFESTYLE INCLUSIONS</t>
  </si>
  <si>
    <t>PRE- CONSTRUCTION</t>
  </si>
  <si>
    <t>Soil test and site inspection of your block</t>
  </si>
  <si>
    <t>Included</t>
  </si>
  <si>
    <t>Independent qualified engineer designed slab</t>
  </si>
  <si>
    <t>Rescode investigation</t>
  </si>
  <si>
    <t>Building permit and associated fees (does not include planning permit)</t>
  </si>
  <si>
    <t>Development application for NSW jobs</t>
  </si>
  <si>
    <t>Builder's insurances</t>
  </si>
  <si>
    <t>Independent 6 star energy rating</t>
  </si>
  <si>
    <t>SERVICE CONNECTIONS</t>
  </si>
  <si>
    <t>Sewer run and connection fees to 700m2 block</t>
  </si>
  <si>
    <t>Water run and connection fees to 6m front setback</t>
  </si>
  <si>
    <t>Stormwater connection to 6m front setback</t>
  </si>
  <si>
    <t>Electricity run to 6m front setback (does not include connection fee)</t>
  </si>
  <si>
    <t>Gas service is to be supplied by the retailer</t>
  </si>
  <si>
    <t>FOUNDATIONS</t>
  </si>
  <si>
    <t>Site fall up to 200mm</t>
  </si>
  <si>
    <t>MD class concrete slab (floor height at least 250mm - there is no allowance for piers)</t>
  </si>
  <si>
    <t>Concrete pump</t>
  </si>
  <si>
    <t>TERMITE PROTECTION</t>
  </si>
  <si>
    <t>Termite resistant treated timber to all structural framing</t>
  </si>
  <si>
    <t>ROOFING</t>
  </si>
  <si>
    <t>Colorbond iron roof with sarking</t>
  </si>
  <si>
    <t>Colorbond slotted gutter, fascia and downpipes (downpipes 100mm x 50mm)</t>
  </si>
  <si>
    <t>22.5 degree roof pitch</t>
  </si>
  <si>
    <t>FACADE</t>
  </si>
  <si>
    <t>Standard façade with 450mm eaves to front elevation as per brochure plans</t>
  </si>
  <si>
    <t>CEILING HEIGHT</t>
  </si>
  <si>
    <t xml:space="preserve">2400mm ceiling height </t>
  </si>
  <si>
    <t>Plaster ceilings are fixed to a metal batten system, suspended on clips and is laser levelled to the entire home</t>
  </si>
  <si>
    <t>EXTERNAL FINISH</t>
  </si>
  <si>
    <t>Lifestyle range of PGH bricks with natural mortar</t>
  </si>
  <si>
    <t>Bricks over external swing and sliding doors (to openings up to 3.6m wide), windows and garage doors</t>
  </si>
  <si>
    <t>Outdoor living ceiling to be lined with plaster sheeting (brick piers or duragal steel columns are plan specific)</t>
  </si>
  <si>
    <t>ENERGY EFFICIENT FEATURES</t>
  </si>
  <si>
    <t>R3.5 Insulation batts to ceiling (excludes garage ceiling)</t>
  </si>
  <si>
    <t>R2.0 Insulation batts plus sisalation paper to external walls (excludes garage external walls)</t>
  </si>
  <si>
    <t>EXTERNAL DOORS</t>
  </si>
  <si>
    <t>Front door - Hume Newington solid core door with Lockwood Symmetry entry set</t>
  </si>
  <si>
    <t>External door jambs with perimeter draft seal (Glass sidelights are plan specific)</t>
  </si>
  <si>
    <t>Flydoors to glass sliding doors (except garage)</t>
  </si>
  <si>
    <t>WINDOWS</t>
  </si>
  <si>
    <t>Aluminium sliding windows with key locks</t>
  </si>
  <si>
    <t>Flyscreens to all opening windows (except garage)</t>
  </si>
  <si>
    <t>Obscure or clear glass to bathroom, ensuite &amp; WC windows</t>
  </si>
  <si>
    <t>GARAGE</t>
  </si>
  <si>
    <t>Choice of external swing door or 2118 glass sliding door</t>
  </si>
  <si>
    <t>Plaster lined walls &amp; ceiling</t>
  </si>
  <si>
    <t>Sectional overhead garage door with wall mounted remote control and 2 transmitters</t>
  </si>
  <si>
    <t xml:space="preserve">Concrete slab floor </t>
  </si>
  <si>
    <t>INTERNAL FINISH</t>
  </si>
  <si>
    <t>75mm Cove cornice</t>
  </si>
  <si>
    <t>67mm x 18mm Bevelled edge architraves</t>
  </si>
  <si>
    <t>67mm x 18mm Bevelled edge skirtings</t>
  </si>
  <si>
    <t>INTERNAL DOORS</t>
  </si>
  <si>
    <t>Internal doors - 2040mm high flush panel doors</t>
  </si>
  <si>
    <t xml:space="preserve">Lockwood velocity door furniture to hinged doors </t>
  </si>
  <si>
    <t xml:space="preserve">Privacy locks to bathroom, ensuite and WC hinged doors </t>
  </si>
  <si>
    <t xml:space="preserve">Door stops to all hinged doors </t>
  </si>
  <si>
    <t>KITCHEN</t>
  </si>
  <si>
    <t>Westinghouse 60cm stainless steel multifunction electric underbench oven</t>
  </si>
  <si>
    <t>Westinghouse 60cm stainless steel gas cooktop</t>
  </si>
  <si>
    <t>Westinghouse 60cm stainless steel slideout rangehood</t>
  </si>
  <si>
    <t>Westinghouse 60cm freestanding dishwasher</t>
  </si>
  <si>
    <t>Joinery made base cabinet with laminate benchtop and overhead cupboards above cooktop section</t>
  </si>
  <si>
    <t>Soft close drawers &amp; cupboard doors</t>
  </si>
  <si>
    <t>Underbench microwave cavity with one pot drawer</t>
  </si>
  <si>
    <t>1 &amp; 3/4 bowl stainless steel sink with sink mixer</t>
  </si>
  <si>
    <t>Bank of four drawers with cutlery insert to top drawer</t>
  </si>
  <si>
    <t>Four white melamine shelves to pantry</t>
  </si>
  <si>
    <t>ENSUITE/BATHROOM/WC</t>
  </si>
  <si>
    <t>Joinery made cabinet with laminate benchtop</t>
  </si>
  <si>
    <t>Frameless mirror 900mm high x width of vanity</t>
  </si>
  <si>
    <t>Acrylic bath in white to bathroom</t>
  </si>
  <si>
    <t>Choice of vanity basins in white</t>
  </si>
  <si>
    <t>Choice of mixer tapware in chrome</t>
  </si>
  <si>
    <t>Semi frameless pivot door shower screen in polished silver with clear glass</t>
  </si>
  <si>
    <t>Tiled shower base</t>
  </si>
  <si>
    <t>Goulburn glass shower shelf</t>
  </si>
  <si>
    <t>Double towel rail &amp; toilet roll holder in chrome</t>
  </si>
  <si>
    <t>Choice of back to wall toilet suites in white with soft close seat</t>
  </si>
  <si>
    <t>LAUNDRY</t>
  </si>
  <si>
    <t>1200mm Joinery made base cabinet with laminate benchtop and insert trough</t>
  </si>
  <si>
    <t>ROBES, LINEN AND BROOM CUPBOARDS</t>
  </si>
  <si>
    <t xml:space="preserve">Robes to all bedrooms with one melamine shelf and hanging rail </t>
  </si>
  <si>
    <t xml:space="preserve">Four melamine shelves to linen cupboards </t>
  </si>
  <si>
    <t xml:space="preserve">Hinged doors to walk in robes </t>
  </si>
  <si>
    <t>Vinyl sliding doors to all robes &amp; linen cupboards</t>
  </si>
  <si>
    <t>PAINTING</t>
  </si>
  <si>
    <t>Haymes three coat paint system to walls and ceilings</t>
  </si>
  <si>
    <t xml:space="preserve">Satin acrylic to walls </t>
  </si>
  <si>
    <t xml:space="preserve">Flat acrylic to ceilings </t>
  </si>
  <si>
    <t>Gloss enamel to doors, architraves and skirtings</t>
  </si>
  <si>
    <t>ELECTRICAL</t>
  </si>
  <si>
    <t xml:space="preserve">Batten holder light globe and shade to each room (plan specific) </t>
  </si>
  <si>
    <t xml:space="preserve">Two double powerpoints to living rooms, kitchen and master bedroom </t>
  </si>
  <si>
    <t xml:space="preserve">One double powerpoint to other bedrooms and each wet area  </t>
  </si>
  <si>
    <t>External light point at each external door</t>
  </si>
  <si>
    <t>One television point &amp; splitter box with coaxial cable in roof space (antenna by owner)</t>
  </si>
  <si>
    <t>Exhaust fan to ensuite &amp; bathroom</t>
  </si>
  <si>
    <t>Hard wired smoke detectors with battery backup</t>
  </si>
  <si>
    <t xml:space="preserve">Safety and isolation switches </t>
  </si>
  <si>
    <t>NBN ready with 1 data point (connection to be organised by Owner)</t>
  </si>
  <si>
    <t>HOT WATER SERVICE</t>
  </si>
  <si>
    <t>Rinnai solar hot water service with 175L tank, evacuator tubes and instantaneous gas booster</t>
  </si>
  <si>
    <t>HEATING &amp; COOLING</t>
  </si>
  <si>
    <t>Ducted gas heating (capacity to suit home)</t>
  </si>
  <si>
    <t>Ducted evaporative cooling (capacity to suit home)</t>
  </si>
  <si>
    <t>CERAMIC WALL TILING</t>
  </si>
  <si>
    <t>Lifestyle range of wall tiles (sizes up to 450mm x 450mm) to:</t>
  </si>
  <si>
    <t xml:space="preserve">Kitchen splashback: above benchtop </t>
  </si>
  <si>
    <t>Bathroom: shower compartment to the height of the shower screen, one row above the vanity, bath hob and above bath</t>
  </si>
  <si>
    <t>Ensuite: shower compartment to height of shower screen and one row above the vanity</t>
  </si>
  <si>
    <t>Laundry: above benchtop</t>
  </si>
  <si>
    <t>FLOOR COVERINGS</t>
  </si>
  <si>
    <t>Lifestyle range of carpet with 10mm thick underlay to all bedrooms and lounge as shown on plan</t>
  </si>
  <si>
    <t>Lifestyle range of ceramic tiles to entry, kitchen, meals, living &amp; hallway as shown on plan</t>
  </si>
  <si>
    <t>Lifestyle range of ceramic floor tiles to bathroom, ensuite, laundry &amp; WC with 100mm high skirting tile (sizes up to 450mm x 450mm)</t>
  </si>
  <si>
    <t>YARD ITEMS</t>
  </si>
  <si>
    <t>Two external taps on home and one tap at the water meter (if applicable)</t>
  </si>
  <si>
    <t>EXTERNAL CONCRETE</t>
  </si>
  <si>
    <t>50m2 of natural concrete</t>
  </si>
  <si>
    <t>POST CONSTRUCTION</t>
  </si>
  <si>
    <t>3 Month warranty service call</t>
  </si>
  <si>
    <t>10 Year structural guarantee</t>
  </si>
  <si>
    <t>Enter Base House Price Here</t>
  </si>
  <si>
    <t xml:space="preserve"> </t>
  </si>
  <si>
    <t>House base price</t>
  </si>
  <si>
    <t>Area Surcharge</t>
  </si>
  <si>
    <t>Client/s Name:</t>
  </si>
  <si>
    <t xml:space="preserve">Date: </t>
  </si>
  <si>
    <t>Concrete included</t>
  </si>
  <si>
    <t>If this item is not included in the price it must be removed from the Inclusions list</t>
  </si>
  <si>
    <t>Tiles included</t>
  </si>
  <si>
    <t>Estimate</t>
  </si>
  <si>
    <t>Contract</t>
  </si>
  <si>
    <t>Difference</t>
  </si>
  <si>
    <t>Carpet Included</t>
  </si>
  <si>
    <t xml:space="preserve">House Type: </t>
  </si>
  <si>
    <t>Miscellaneous</t>
  </si>
  <si>
    <r>
      <t>Sewer run to suit your block (</t>
    </r>
    <r>
      <rPr>
        <b/>
        <sz val="10"/>
        <rFont val="Arial"/>
        <family val="2"/>
      </rPr>
      <t>XXm</t>
    </r>
    <r>
      <rPr>
        <sz val="10"/>
        <rFont val="Arial"/>
        <family val="2"/>
      </rPr>
      <t xml:space="preserve"> of additional run)</t>
    </r>
  </si>
  <si>
    <r>
      <t>Water run to suit your block (</t>
    </r>
    <r>
      <rPr>
        <b/>
        <sz val="10"/>
        <rFont val="Arial"/>
        <family val="2"/>
      </rPr>
      <t>XXm</t>
    </r>
    <r>
      <rPr>
        <sz val="10"/>
        <rFont val="Arial"/>
        <family val="2"/>
      </rPr>
      <t xml:space="preserve"> of additional run)</t>
    </r>
  </si>
  <si>
    <r>
      <t>Stormwater run to suit your block (</t>
    </r>
    <r>
      <rPr>
        <b/>
        <sz val="10"/>
        <rFont val="Arial"/>
        <family val="2"/>
      </rPr>
      <t>XXm</t>
    </r>
    <r>
      <rPr>
        <sz val="10"/>
        <rFont val="Arial"/>
        <family val="2"/>
      </rPr>
      <t xml:space="preserve"> of additional run)</t>
    </r>
  </si>
  <si>
    <r>
      <t>Electricity run to suit your block (</t>
    </r>
    <r>
      <rPr>
        <b/>
        <sz val="10"/>
        <rFont val="Arial"/>
        <family val="2"/>
      </rPr>
      <t>XXm</t>
    </r>
    <r>
      <rPr>
        <sz val="10"/>
        <rFont val="Arial"/>
        <family val="2"/>
      </rPr>
      <t xml:space="preserve"> of additional run)</t>
    </r>
  </si>
  <si>
    <t>Gas service is to be supplied by the service provider</t>
  </si>
  <si>
    <t>LPG Gas regulator set up (Client to supply gas bottles)</t>
  </si>
  <si>
    <r>
      <t xml:space="preserve">Temporary fencing to suit your block (additional </t>
    </r>
    <r>
      <rPr>
        <b/>
        <sz val="10"/>
        <rFont val="Arial"/>
        <family val="2"/>
      </rPr>
      <t>XXm</t>
    </r>
    <r>
      <rPr>
        <sz val="10"/>
        <rFont val="Arial"/>
        <family val="2"/>
      </rPr>
      <t>)</t>
    </r>
  </si>
  <si>
    <r>
      <rPr>
        <b/>
        <sz val="10"/>
        <rFont val="Arial"/>
        <family val="2"/>
      </rPr>
      <t>XXX</t>
    </r>
    <r>
      <rPr>
        <sz val="10"/>
        <rFont val="Arial"/>
        <family val="2"/>
      </rPr>
      <t xml:space="preserve"> Class waffle pod slab with </t>
    </r>
    <r>
      <rPr>
        <b/>
        <sz val="10"/>
        <rFont val="Arial"/>
        <family val="2"/>
      </rPr>
      <t>XXXmm</t>
    </r>
    <r>
      <rPr>
        <sz val="10"/>
        <rFont val="Arial"/>
        <family val="2"/>
      </rPr>
      <t xml:space="preserve"> deep piers</t>
    </r>
    <r>
      <rPr>
        <sz val="10"/>
        <rFont val="Arial"/>
        <family val="2"/>
      </rPr>
      <t xml:space="preserve"> (price to be confirmed with soil test, if soil classification is higher or there are trees in close proximity to home extra cost may apply)</t>
    </r>
  </si>
  <si>
    <t>BUSHFIRE PRONE AREA</t>
  </si>
  <si>
    <t>Compliance with Victorian Bushfire Regulations (BAL 12.5) as investigation into your block reveals it is in a bushfire prone area</t>
  </si>
  <si>
    <t>NSW INCLUSIONS</t>
  </si>
  <si>
    <t>The NSW allowance includes one floor waste add flue the rangehood to outside. This includes Development Application for council approval</t>
  </si>
  <si>
    <t>note only</t>
  </si>
  <si>
    <t>VARIATIONS TO PLAN &amp; LIFESTYLE INCLUSIONS</t>
  </si>
  <si>
    <t>EAVES</t>
  </si>
  <si>
    <t>GENERAL MODIFICATIONS</t>
  </si>
  <si>
    <t>ENSUITE</t>
  </si>
  <si>
    <t>BATHROOM</t>
  </si>
  <si>
    <t>LIGHT FITTINGS</t>
  </si>
  <si>
    <t>ENTRANCE PACK</t>
  </si>
  <si>
    <t>Water point to fridge</t>
  </si>
  <si>
    <t>Twin bin in drawer with drawer below</t>
  </si>
  <si>
    <t>Above counter basins with tower mixers</t>
  </si>
  <si>
    <t>Tiled recess shelf to showers</t>
  </si>
  <si>
    <t>Dual shower head to ensuite</t>
  </si>
  <si>
    <t>All estimates are subject to confirmation</t>
  </si>
  <si>
    <t>CONTRACT PRICE</t>
  </si>
  <si>
    <t>Client/s Signature:……………………………………..……………………..…..</t>
  </si>
  <si>
    <t>PROGRESS PAYMENTS (HIA VICTORIA)</t>
  </si>
  <si>
    <t>Percentage %</t>
  </si>
  <si>
    <t>Stage of Payment</t>
  </si>
  <si>
    <t>Amount $</t>
  </si>
  <si>
    <t>Deposit</t>
  </si>
  <si>
    <t>Base Stage</t>
  </si>
  <si>
    <t>Frame Stage</t>
  </si>
  <si>
    <t>Lock-up Stage  A</t>
  </si>
  <si>
    <t>Lock-up Stage B</t>
  </si>
  <si>
    <t>Fixing Stage</t>
  </si>
  <si>
    <t>Completion</t>
  </si>
  <si>
    <t>GST AMOUNTS</t>
  </si>
  <si>
    <t>Building contract price excluding GST</t>
  </si>
  <si>
    <t>GST on the building contract price</t>
  </si>
  <si>
    <t>Building contract price GST inclusive</t>
  </si>
  <si>
    <t>Enter Base House Price Here Manually</t>
  </si>
  <si>
    <t>Raised portico with brick bulkhead</t>
  </si>
  <si>
    <t>Verandah to the front</t>
  </si>
  <si>
    <t>Tribeca bricks in lieu of standartd Lifestyle inclusions</t>
  </si>
  <si>
    <t>Tribeca bricks may not be available now</t>
  </si>
  <si>
    <t>2340mm high Hume Haven66 door with sidelite</t>
  </si>
  <si>
    <t>Nexion Trilock Lock to Entry Door in lieu of Lifestyle inclusion</t>
  </si>
  <si>
    <t>2550mm high ceilings</t>
  </si>
  <si>
    <t>Eaves to floor plan as per display</t>
  </si>
  <si>
    <t>95LM</t>
  </si>
  <si>
    <t>Fridge overhead cupboard</t>
  </si>
  <si>
    <t>900mm appliances with integrated rangehood in lieu of standard Lifestyle inclusions</t>
  </si>
  <si>
    <t>4 glass doors to overhead cupboard</t>
  </si>
  <si>
    <t>Twin bin in with drawer below</t>
  </si>
  <si>
    <t>4 bank of draws</t>
  </si>
  <si>
    <t>40mm stone to kitchen benchtops from standard range in lieu of laminate</t>
  </si>
  <si>
    <t>One 40mm waterfall end to kitchen breakfast bar</t>
  </si>
  <si>
    <t>Ceniza stone benchtop in lieu of standard range</t>
  </si>
  <si>
    <t>Undermount sink in lieu of standard inclusion</t>
  </si>
  <si>
    <t>Floating vanity with additional bank of draws</t>
  </si>
  <si>
    <t>Countertop vanity basins with tower mixer in lieu of standard inclusion</t>
  </si>
  <si>
    <t>Half height wall shower shelf with stone capping in lieu of glass shelf</t>
  </si>
  <si>
    <t>20mm stone to vanity benchtop in lieu of standard laminate</t>
  </si>
  <si>
    <t>2 round vanity mirros in lieu of standard inclusion</t>
  </si>
  <si>
    <t>Tile upgrade</t>
  </si>
  <si>
    <t>ENSUITE WC</t>
  </si>
  <si>
    <t>Floating vanity unit</t>
  </si>
  <si>
    <t>Countertop vanity basin with tower mixer in lieu of standard inclusion</t>
  </si>
  <si>
    <t>Freestanding bath</t>
  </si>
  <si>
    <t>Tiled shower recess</t>
  </si>
  <si>
    <t>Extend laundry benchtop only by 800mm</t>
  </si>
  <si>
    <t>Lavas gooseneck mixer in lieu of standard inclusion</t>
  </si>
  <si>
    <t xml:space="preserve">Extend front porch adding a raised portico with a rendered bulkhead </t>
  </si>
  <si>
    <t>Add gable to the front with cement sheet lining as per display</t>
  </si>
  <si>
    <t>Add two engaged brick piers to the front</t>
  </si>
  <si>
    <t>Upgrade garage door to timbergrain from standard Lifestyle inclusion</t>
  </si>
  <si>
    <t>Cement sheeting to Bed 4 &amp; Bed 1 external walls as per display</t>
  </si>
  <si>
    <t>Upgrade front door to XS45 1200mm wide in lieu of standard Lifestyle range</t>
  </si>
  <si>
    <t>Upgrade to Nexion front door handle in lieu of standard Lifestyle inclusion</t>
  </si>
  <si>
    <t>Bed 1 - 2 1809 awning overlooking windows in lieu 1818 sliding</t>
  </si>
  <si>
    <t>Study - 1815 awning overlooking window in lieu of 1815 sliding</t>
  </si>
  <si>
    <t>Lounge - 1824 awning overlooking window in lieu of 1824 sliding</t>
  </si>
  <si>
    <t>Bed 3 - 1815 awning overlooking window in lieu of 1818 sliding</t>
  </si>
  <si>
    <t>Bed 4 - 2 1809 awning overlooking window in lieu of 1818 sliding</t>
  </si>
  <si>
    <t>Tempo Façade</t>
  </si>
  <si>
    <t>Upgrade to 2550mm in lieu of standard 2400mm ceiling height</t>
  </si>
  <si>
    <t>Add feature ceiling/bulkhead to Kitchen as per display</t>
  </si>
  <si>
    <t>Eaves to Outdoor Living only</t>
  </si>
  <si>
    <t>Upgrade brick to Black Ash in lieu of standard Lifestyle range bricks</t>
  </si>
  <si>
    <t>Light sand &amp; off white cement in lieu of natural mortar</t>
  </si>
  <si>
    <t>Linear cornice to Family, Meals, Lounge, Entry, Study, Kitchen &amp; Hallway to Bed 1 in lieu of standard 75mm cove cornice</t>
  </si>
  <si>
    <t>68mm x 18mm architraves in lieu of 42mm x 18mm architraves throughout the house</t>
  </si>
  <si>
    <t>Wall cut outs between Meals &amp; Bed 1 hallway</t>
  </si>
  <si>
    <t>Note: These rates are for addition or substitution only. For deleting please contact Estimator</t>
  </si>
  <si>
    <t>Size of Window</t>
  </si>
  <si>
    <t xml:space="preserve">Standard Sliding </t>
  </si>
  <si>
    <t>Sliding Double Glazed</t>
  </si>
  <si>
    <t>Awning</t>
  </si>
  <si>
    <t>Awning Double Glazed</t>
  </si>
  <si>
    <t>Obscure glazing</t>
  </si>
  <si>
    <t>NA</t>
  </si>
  <si>
    <t>Doors</t>
  </si>
  <si>
    <t>Size of Door</t>
  </si>
  <si>
    <t>Double Glazed Sliding</t>
  </si>
  <si>
    <t>Bi-part Silding Door</t>
  </si>
  <si>
    <t>Double Glazed Bi-part Sliding</t>
  </si>
  <si>
    <t>Stacker  Silding Door</t>
  </si>
  <si>
    <t>Double Glazed stacker  Door</t>
  </si>
  <si>
    <t>Numbers</t>
  </si>
  <si>
    <t>AliView flyscreen in lieu of standard flyscreen (per screen)</t>
  </si>
  <si>
    <t>Internal/External Swing Doors</t>
  </si>
  <si>
    <t>Price</t>
  </si>
  <si>
    <t>Quantity</t>
  </si>
  <si>
    <t>External Doors</t>
  </si>
  <si>
    <t>Per door</t>
  </si>
  <si>
    <t>Add deadlock</t>
  </si>
  <si>
    <t>Upgrade to nexion handle</t>
  </si>
  <si>
    <t>Upgrade to black hardware</t>
  </si>
  <si>
    <t>Sub total</t>
  </si>
  <si>
    <t>Garage External Doors</t>
  </si>
  <si>
    <t>Sliding door 2115, no flyscreen</t>
  </si>
  <si>
    <t>Add flyscreen</t>
  </si>
  <si>
    <t>Internal Doors</t>
  </si>
  <si>
    <t>Per pair</t>
  </si>
  <si>
    <t>Full lite glazed joinery doors (per door)</t>
  </si>
  <si>
    <t>Upgrade to black hardware (per internal door)</t>
  </si>
  <si>
    <t>Page total</t>
  </si>
  <si>
    <t>Garage Doors</t>
  </si>
  <si>
    <t>Amount</t>
  </si>
  <si>
    <t>Roller doors</t>
  </si>
  <si>
    <t>Roller door 2100mm H X 2400mm W (no auto controller)</t>
  </si>
  <si>
    <t>Roller door 2200mm H X 2400mm W (no auto controller)</t>
  </si>
  <si>
    <t>Roller door 2100mm H X 4800mm W (no auto controller)</t>
  </si>
  <si>
    <t>Roller door 2200mm H X 4800mm W (no auto controller)</t>
  </si>
  <si>
    <t>Add roller door opener with 2 handsets</t>
  </si>
  <si>
    <t>Sectional doors</t>
  </si>
  <si>
    <t>Sectional door 2100mm H X 3000mm W with auto controller</t>
  </si>
  <si>
    <t>Sectional door 2100mm H X 4800mm W with auto controller</t>
  </si>
  <si>
    <t>Sectional door 2100mm H X 5000mm W with auto controller</t>
  </si>
  <si>
    <t>Sectional door 2100mm H X 5400mm W with auto controller</t>
  </si>
  <si>
    <t>Sectional door 2200mm H X 4800mm W with auto controller</t>
  </si>
  <si>
    <t>Sectional door 2200mm H X 5000mm W with auto controller</t>
  </si>
  <si>
    <t>Sectional door 2200mm H X 5400mm W with auto controller</t>
  </si>
  <si>
    <t>Timbergrain upgrade</t>
  </si>
  <si>
    <t>Upgrade to Timbergrain colour from Colorbond, any size</t>
  </si>
  <si>
    <t>Bathroom Cabinetry</t>
  </si>
  <si>
    <t>Add 900mm vanity with 1 basin and I bank of draws including splashback tiles and mirror above</t>
  </si>
  <si>
    <t>Per 100mm</t>
  </si>
  <si>
    <t>Extend vanity by 100mm</t>
  </si>
  <si>
    <t>Add extra Lifestyle basin &amp; mixer</t>
  </si>
  <si>
    <t>Add bank of draws</t>
  </si>
  <si>
    <t>Add towel rail</t>
  </si>
  <si>
    <t>Add towel ring</t>
  </si>
  <si>
    <t xml:space="preserve">Extend mirror above vanity </t>
  </si>
  <si>
    <t>Laundry Cabinetry</t>
  </si>
  <si>
    <t>Add Laundry trough with tap and tiled splashback</t>
  </si>
  <si>
    <t>Add 1200mm long Laundry bench with sink, tap and tiled splashback</t>
  </si>
  <si>
    <t>Extend Laundry wall bench by 100mm</t>
  </si>
  <si>
    <t>Extend Laundry benchtop only by 100mm</t>
  </si>
  <si>
    <t>Add Laundry basket in pull-out drawer</t>
  </si>
  <si>
    <t>Add pull-out ironing board</t>
  </si>
  <si>
    <t>Laundry overhead cupboard - 600mm long</t>
  </si>
  <si>
    <t>Extend Laundry overhead cupboard by 100mm</t>
  </si>
  <si>
    <t>Add linen cupboard with shelves 600mm wide (by cabinetmaker)</t>
  </si>
  <si>
    <t>Extend linen cupboard by 100mm</t>
  </si>
  <si>
    <t>Add broom cupboard 600mm wide (by cabinetmaker)</t>
  </si>
  <si>
    <t>Kitchen Cabinetry</t>
  </si>
  <si>
    <t>Wall benches</t>
  </si>
  <si>
    <t>Add 900mm long wall bench with cupboard</t>
  </si>
  <si>
    <t>Extend wall bench by 100mm</t>
  </si>
  <si>
    <t>600mm wide wall oven tower with 2 pot drawers below in lieu of wall bench &amp; overhead cupboard</t>
  </si>
  <si>
    <t>Add 600mm wide appliance cupboard</t>
  </si>
  <si>
    <t>Add 600mm wide cabinetmade laminate pantry</t>
  </si>
  <si>
    <t>Extend cabinetmade laminate pantry by 100mm</t>
  </si>
  <si>
    <t>Add 1 X laminate waterfall end</t>
  </si>
  <si>
    <t>Overhead Cupboards</t>
  </si>
  <si>
    <t>Add 600mm long kitchen overhead cupboard</t>
  </si>
  <si>
    <t>Extend kitchen overhead cupboards by 100mm</t>
  </si>
  <si>
    <t>Add 900mm fridge overhead cupboard</t>
  </si>
  <si>
    <t>Extend fridge overhead cupboard by 100mm</t>
  </si>
  <si>
    <t>Add 1 partition to fridge overhead cupboard</t>
  </si>
  <si>
    <t>Island Bench</t>
  </si>
  <si>
    <t>Add 900mm long island bench with brakefast bar</t>
  </si>
  <si>
    <t>Extend island bench with brakefast bar by 100mm</t>
  </si>
  <si>
    <t>Deeper brakefast bar (900mm to 1200mm) with deeper cupboard or void per 100mm</t>
  </si>
  <si>
    <t>Add 1 laminate waterfall end</t>
  </si>
  <si>
    <t>Extras</t>
  </si>
  <si>
    <t>Add twin bin with drawer below</t>
  </si>
  <si>
    <t>Add twin bin under the sink</t>
  </si>
  <si>
    <t>Replace dishwasher with cupboards</t>
  </si>
  <si>
    <t>Add underbench microwave box with one pot drawer</t>
  </si>
  <si>
    <t>Add bank of 2-4 draws up to 900mm</t>
  </si>
  <si>
    <t>Add 3 vegie baskets on runners</t>
  </si>
  <si>
    <t>Add touch catches instead of door handles</t>
  </si>
  <si>
    <t>Add Lifestyle kitchen sink with standard tap</t>
  </si>
  <si>
    <t>Add undermount sink with tap on stone benchtop</t>
  </si>
  <si>
    <t>Glass Splashbacks</t>
  </si>
  <si>
    <t>Glass splashback up to 650mm high and up to 3.6m long per 100mm (standard colours)</t>
  </si>
  <si>
    <t xml:space="preserve">Power point cut out </t>
  </si>
  <si>
    <t>Appliances</t>
  </si>
  <si>
    <t>Addition of Substitution</t>
  </si>
  <si>
    <t>600mm Lifestyle electric oven</t>
  </si>
  <si>
    <t>600mm Lifestyle gas hotplate</t>
  </si>
  <si>
    <t>600mm Lifestyle slidout rangehood</t>
  </si>
  <si>
    <t>600mm Lifestyle electric hotplate</t>
  </si>
  <si>
    <t>600mm canopy rangehood</t>
  </si>
  <si>
    <t>600mm Lifestyle dishwasher</t>
  </si>
  <si>
    <t>900mm electric oven</t>
  </si>
  <si>
    <t>900mm gas hotplate</t>
  </si>
  <si>
    <t>900mm electric hotplate</t>
  </si>
  <si>
    <t>900mm canopy rangehood</t>
  </si>
  <si>
    <t>900mm slideout rangehood</t>
  </si>
  <si>
    <t>900mm upright oven with gas cooktop</t>
  </si>
  <si>
    <t>Deletion</t>
  </si>
  <si>
    <t>Add tiled shower recess (any size)</t>
  </si>
  <si>
    <t>Add Lifestyle bath</t>
  </si>
  <si>
    <t>Add Lifestyle toilet including roll holder</t>
  </si>
  <si>
    <t>Electrical</t>
  </si>
  <si>
    <t>Powerpoints</t>
  </si>
  <si>
    <t>Single power point internal</t>
  </si>
  <si>
    <t>Double power point internal</t>
  </si>
  <si>
    <t>Double power point internal with 1 USB point</t>
  </si>
  <si>
    <t>Double power point - 15 Amps</t>
  </si>
  <si>
    <t>Single power point external</t>
  </si>
  <si>
    <t>Double power point external</t>
  </si>
  <si>
    <t>Recessed power point for underbench</t>
  </si>
  <si>
    <t>Television &amp; Data</t>
  </si>
  <si>
    <t>TV point</t>
  </si>
  <si>
    <t>Duct for TV leads</t>
  </si>
  <si>
    <t>TV antenna</t>
  </si>
  <si>
    <t>Data point</t>
  </si>
  <si>
    <t>Builder supplied &amp; installed items</t>
  </si>
  <si>
    <t>Supply &amp; install door bell</t>
  </si>
  <si>
    <t>Sensor switch supplied &amp; installed (internal &amp; external)</t>
  </si>
  <si>
    <t>Smoke detector supplied &amp; installed</t>
  </si>
  <si>
    <t>Exhaust fan suppled &amp; installed</t>
  </si>
  <si>
    <t xml:space="preserve">Install client supplied  heat/light/fan </t>
  </si>
  <si>
    <t>Forme 4 heat/light/fan supplied and installed</t>
  </si>
  <si>
    <t>Light points, switches &amp; fittings</t>
  </si>
  <si>
    <t>Per LM</t>
  </si>
  <si>
    <t>LED striplight to underside of overhead cupboard per LM (round up to next meter)</t>
  </si>
  <si>
    <t>LED striplight to shower recess per LM (round up to next meter)</t>
  </si>
  <si>
    <t>2 way light switch</t>
  </si>
  <si>
    <t>3 way light switch</t>
  </si>
  <si>
    <t>Dimmer switch</t>
  </si>
  <si>
    <t>Ceiling fans</t>
  </si>
  <si>
    <t>Install client supplied ceiling fan</t>
  </si>
  <si>
    <t>Install client supplied ceiling fan with light</t>
  </si>
  <si>
    <t>Spyda 50" fan supplied and installed (white/titanium)</t>
  </si>
  <si>
    <t>Spyda 50" fan with LED light supplied and installed (white/titanium)</t>
  </si>
  <si>
    <t>Spyda 56" fan supplied and installed (white/titanium)</t>
  </si>
  <si>
    <t>Spyda 56" fan with LED light supplied and installed (white/titanium)</t>
  </si>
  <si>
    <t>Shed Points</t>
  </si>
  <si>
    <t>House Extensions</t>
  </si>
  <si>
    <t>Floor/walls</t>
  </si>
  <si>
    <t>m2</t>
  </si>
  <si>
    <t>m3</t>
  </si>
  <si>
    <t>Convert patio to living (not including floor coverings)</t>
  </si>
  <si>
    <t>External brick walls (no eaves)</t>
  </si>
  <si>
    <t>Roof extensions</t>
  </si>
  <si>
    <t>Hip per lineal meter</t>
  </si>
  <si>
    <t>Valley per lineal meter</t>
  </si>
  <si>
    <t>Ridge per lineal meter</t>
  </si>
  <si>
    <t xml:space="preserve">Eaves  </t>
  </si>
  <si>
    <t>Eaves per lineal meter</t>
  </si>
  <si>
    <t>Ceiling height</t>
  </si>
  <si>
    <t xml:space="preserve">Convert 2400mm ceiling to 2550mm </t>
  </si>
  <si>
    <t xml:space="preserve">Convert 2400mm ceiling to 2700mm </t>
  </si>
  <si>
    <t xml:space="preserve">Convert 2400mm ceiling to 3000mm </t>
  </si>
  <si>
    <t>Patio addition/extension</t>
  </si>
  <si>
    <t>Extend roof area to add patio</t>
  </si>
  <si>
    <t>Patio beam per lineal metre (up to 3.0m span)</t>
  </si>
  <si>
    <t xml:space="preserve">Brick pier 350mm X 350mm up to 2.7m high </t>
  </si>
  <si>
    <t>Patio concrete footing</t>
  </si>
  <si>
    <t>Verandah addition/extension</t>
  </si>
  <si>
    <t>Add hip</t>
  </si>
  <si>
    <t>Add valley</t>
  </si>
  <si>
    <t>Painted timber post 112mmX112mm</t>
  </si>
  <si>
    <t>Panited steel post 90mmX90mm</t>
  </si>
  <si>
    <t>Miscallaneous</t>
  </si>
  <si>
    <t>Sqauare set cornice in lieu of standard</t>
  </si>
  <si>
    <t>Linear/Ornate cornice in lieu of standard</t>
  </si>
  <si>
    <t>Plaster bulkhead up to 600mm deep</t>
  </si>
  <si>
    <t>Drop ceiling (add bulkhead length for edges)</t>
  </si>
  <si>
    <t>Plaster cut out/recess to the wall</t>
  </si>
  <si>
    <t>Add Plaster recess for TV Recess (1m high x 1.5m wide) includes TV duct and Single Powerpoint</t>
  </si>
  <si>
    <t>Robes &amp; Shelving</t>
  </si>
  <si>
    <t>Linen cupboards</t>
  </si>
  <si>
    <t>Add Whole built in linen cupboard with 4 shelves 1000mm-1800mm wide with 2 vinyl doors</t>
  </si>
  <si>
    <t>Add Whole built in linen cupboard with 4 shelves 1850mm-2500mm wide with 2-3 vinyl doors</t>
  </si>
  <si>
    <t>Add Whole built in linen cupboard with 4 shelves 2550mm-3100mm wide with 2-3 vinyl doors</t>
  </si>
  <si>
    <t>Add 4 shelves per 100mm</t>
  </si>
  <si>
    <t>Add white melamine end panel</t>
  </si>
  <si>
    <t>Robes</t>
  </si>
  <si>
    <t>Add Whole robe with shelf and hanging rod 1000mm-1800mm wide with 2 vinyl doors</t>
  </si>
  <si>
    <t>Add Whole robe with shelf and hanging rod 1850mm-2100mm wide with 2-3 vinyl doors</t>
  </si>
  <si>
    <t>Add Whole robe with shelf and hanging rod 2150mm-3100mm wide with 2-3 vinyl doors</t>
  </si>
  <si>
    <t>Add shelf with hanging rail per 100mm</t>
  </si>
  <si>
    <t>Add shelf only (no rail)</t>
  </si>
  <si>
    <t>Add shirt stackers - bank of 3 fixed shelves</t>
  </si>
  <si>
    <t>Add bank of 4 draws and 2 adjustable shelves</t>
  </si>
  <si>
    <t>Robe door substitutuion</t>
  </si>
  <si>
    <t>Mirrored robe door in lieu of vinyl</t>
  </si>
  <si>
    <t>Black aluminum trim in lieu of standard colour options</t>
  </si>
  <si>
    <t>Floor Coverings</t>
  </si>
  <si>
    <t>Lifestyle carpets with Stepco green undrlay</t>
  </si>
  <si>
    <t>Deluxe carpets with Stepmax gold underlay</t>
  </si>
  <si>
    <t>Tile</t>
  </si>
  <si>
    <t>Lifestyle range floor &amp; wall tiles</t>
  </si>
  <si>
    <t>Vinyl</t>
  </si>
  <si>
    <t>Lifestyle gluedown - 4mm/5mm</t>
  </si>
  <si>
    <t>Upgrade vinyl</t>
  </si>
  <si>
    <t>Window Coverings</t>
  </si>
  <si>
    <t>Blockout Blinds</t>
  </si>
  <si>
    <t xml:space="preserve">1006 Single blockout roller blind </t>
  </si>
  <si>
    <t>1212 Single blockout roller blind</t>
  </si>
  <si>
    <t>1215 Single blockout roller blind</t>
  </si>
  <si>
    <t>1218 Single blockout roller blind</t>
  </si>
  <si>
    <t>1809 Single blockout roller blind</t>
  </si>
  <si>
    <t>1812 Single blockout roller blind</t>
  </si>
  <si>
    <t>1818 Single blockout roller blind</t>
  </si>
  <si>
    <t>1821 Single blockout roller blind</t>
  </si>
  <si>
    <t>2115 Single blockout roller blind</t>
  </si>
  <si>
    <t>2118 Single blockout roller blind</t>
  </si>
  <si>
    <t>2121 Single blockout roller blind</t>
  </si>
  <si>
    <t>2124 Single blockout roller blind</t>
  </si>
  <si>
    <t>2127 Single blockout roller blind</t>
  </si>
  <si>
    <t>Screen Blinds</t>
  </si>
  <si>
    <t xml:space="preserve">1006 Single screen roller blind </t>
  </si>
  <si>
    <t>1212 Single screen roller blind</t>
  </si>
  <si>
    <t>1215 Single screen roller blind</t>
  </si>
  <si>
    <t>1218 Single screen roller blind</t>
  </si>
  <si>
    <t>1809 Single screen roller blind</t>
  </si>
  <si>
    <t>1812 Single screen roller blind</t>
  </si>
  <si>
    <t>1818 Single screen roller blind</t>
  </si>
  <si>
    <t>1821 Single screen roller blind</t>
  </si>
  <si>
    <t>2115 Single screen roller blind</t>
  </si>
  <si>
    <t>2118 Single screen roller blind</t>
  </si>
  <si>
    <t>2121 Single screen roller blind</t>
  </si>
  <si>
    <t>2124 Single screen roller blind</t>
  </si>
  <si>
    <t>2127 Single screen roller blind</t>
  </si>
  <si>
    <t>Installation</t>
  </si>
  <si>
    <t>Grand Total</t>
  </si>
  <si>
    <t>Yard Items</t>
  </si>
  <si>
    <t xml:space="preserve">Decking </t>
  </si>
  <si>
    <t>Oiled timber deck or Ekodeck</t>
  </si>
  <si>
    <t>External concrete paving</t>
  </si>
  <si>
    <t>Plain concrete paving</t>
  </si>
  <si>
    <t>Exposed aggregate paving</t>
  </si>
  <si>
    <t>Mower strip 250mm wide - plain concrete</t>
  </si>
  <si>
    <t>Mower strip 250mm wide - exposed aggregate</t>
  </si>
  <si>
    <t>Crossover extra area over 12m2</t>
  </si>
  <si>
    <t>Remove existing kerb &amp; channel replacing with layback</t>
  </si>
  <si>
    <t>External fencing</t>
  </si>
  <si>
    <t>Netascreen Colorbond Fencing per lineal metre including installation (full share)</t>
  </si>
  <si>
    <t>Netascreen Colorbond 900mm wide 1 person gate</t>
  </si>
  <si>
    <t>Netascreen Colorbond double gates</t>
  </si>
  <si>
    <t>Painting</t>
  </si>
  <si>
    <t>Per wall</t>
  </si>
  <si>
    <t>Feature wall</t>
  </si>
  <si>
    <t>External items</t>
  </si>
  <si>
    <t>Colorbond letterbox</t>
  </si>
  <si>
    <t>Brick letterbox</t>
  </si>
  <si>
    <t>Prefabricated Elite Vermont Cream Pillar Letterbox</t>
  </si>
  <si>
    <t>Prefabricated Northcote Pottery 36x90cm Charcoal Plymouth Pillar Letterbox</t>
  </si>
  <si>
    <t>Wall mounted clothesline (not including concrete pad paving)</t>
  </si>
  <si>
    <t>Rotary clothesline (not including concrete pad paving)</t>
  </si>
  <si>
    <t>External cold water tap on wall</t>
  </si>
  <si>
    <t>Surface drainage grate 200mmX200mm square</t>
  </si>
  <si>
    <t>Long Drainage Grate in front of Garage up to 5m long for sloping driveways</t>
  </si>
  <si>
    <t>Capped hot &amp; cold point with provision for drain to outdoor living</t>
  </si>
  <si>
    <t>Site costs</t>
  </si>
  <si>
    <t>Water tank addition</t>
  </si>
  <si>
    <t>2100 litre water tank connected to toilets - POA we will need to get this quoted on a job by job basis</t>
  </si>
  <si>
    <t>WHEN OWNER SUPPLYING OWN WATER TANK ON RURAL PROPERTY                                                                                                    Upgrade Stormwater from 90mm to 100mm and allowance for 80mm pvc downpipes. Owner to supply the water tank, pressure pump and associated fittings. Owner to install the tank within 6m of the house and provide a pad for the tank. The builder will connect to the tank and the owner is responsible for the overflow and discharge. Builder will install the pressure pump and provide power for the pump which is to be located at the house.</t>
  </si>
  <si>
    <t>Stormwater, Sewer and Power</t>
  </si>
  <si>
    <t>Stormwater run</t>
  </si>
  <si>
    <t>Extra downpipe (100mmX45mm Colorbond)</t>
  </si>
  <si>
    <t>Extra downpipe (80mm PVC Round)</t>
  </si>
  <si>
    <t>Sewer (maximum 15m run, if more talk to Estimator)</t>
  </si>
  <si>
    <t xml:space="preserve">Power Single Phase (Maximum 25m Run, see estimator for quote) </t>
  </si>
  <si>
    <t>Extra Water Run (if setback more than 6m)</t>
  </si>
  <si>
    <t>Gas</t>
  </si>
  <si>
    <t>Capped Gas Point for Future BBQ or Gas Heater etc</t>
  </si>
  <si>
    <t>Temporary Fencing Addition or Extension</t>
  </si>
  <si>
    <t>Temporary Fencing Per Lineal Metre</t>
  </si>
  <si>
    <t>BAL 12.5</t>
  </si>
  <si>
    <t>Per Job</t>
  </si>
  <si>
    <t>Allowance for BAL 12.5 compliance requirements</t>
  </si>
  <si>
    <t>Page Total</t>
  </si>
  <si>
    <t>Facades</t>
  </si>
  <si>
    <t>Render</t>
  </si>
  <si>
    <r>
      <t>Render (</t>
    </r>
    <r>
      <rPr>
        <b/>
        <sz val="11"/>
        <color theme="1"/>
        <rFont val="Calibri"/>
        <family val="2"/>
        <scheme val="minor"/>
      </rPr>
      <t>Minimum Charge up to 40m2</t>
    </r>
    <r>
      <rPr>
        <sz val="11"/>
        <color theme="1"/>
        <rFont val="Calibri"/>
        <family val="2"/>
        <scheme val="minor"/>
      </rPr>
      <t>) *</t>
    </r>
    <r>
      <rPr>
        <sz val="11"/>
        <color rgb="FF008080"/>
        <rFont val="Calibri"/>
        <family val="2"/>
        <scheme val="minor"/>
      </rPr>
      <t>When working out wall area don't delete windows or doors but can delete 5m2 for garage door</t>
    </r>
  </si>
  <si>
    <t>Render per m2</t>
  </si>
  <si>
    <t>Linea weatherboard</t>
  </si>
  <si>
    <t>*Weatherboard prices valid only for Walls NOT GABLES</t>
  </si>
  <si>
    <r>
      <t>Linea Weatherboards (minimum 30m2) *</t>
    </r>
    <r>
      <rPr>
        <sz val="11"/>
        <color rgb="FF008080"/>
        <rFont val="Calibri"/>
        <family val="2"/>
        <scheme val="minor"/>
      </rPr>
      <t>When working out Weatherboards must add extra to go around each window and door and extra per internal/external corner as per below items</t>
    </r>
  </si>
  <si>
    <t>Linea Weatherboards to go around Windows and Doors</t>
  </si>
  <si>
    <t>Linea Weatherboards per Internal Corner</t>
  </si>
  <si>
    <t>Linea Weatherboards per External Corner</t>
  </si>
  <si>
    <t>Please pick in the following order. Then go to sheet 2.TRAVEL</t>
  </si>
  <si>
    <t>## THESE RATES APPLY ONLY FOR INVESTORS, NOT OWNER-OCCUPIERS ##</t>
  </si>
  <si>
    <t>LOUNGE</t>
  </si>
  <si>
    <t>Add wall cavity in Lounge</t>
  </si>
  <si>
    <t>Add lowline units in laminate finish on either side of gas log fire as per display with push catches</t>
  </si>
  <si>
    <t>Add floating laminate shelves I laminate finish on either side of gas log fire as per display</t>
  </si>
  <si>
    <t>Gloss finish laminate to lowline units and floating shelves in lieu of laminate as per display</t>
  </si>
  <si>
    <t>Add stria board feature wall to Lounge as per display</t>
  </si>
  <si>
    <t>FAMILY</t>
  </si>
  <si>
    <t>Add joiner made feature unit to Family as per display wit push catches</t>
  </si>
  <si>
    <t>Add 40mm standard Smartstone range stone benchtops to Kitchen in lieu of laminate</t>
  </si>
  <si>
    <t>Add 2 40mm stone waterfall ends to either side of island bench from standard Smartstone range in lieu of laminate</t>
  </si>
  <si>
    <t xml:space="preserve">Raised T-bar to island bench with 40mm stone in standard range to top and waterfall ends </t>
  </si>
  <si>
    <t>Upgrade to 40mm Borghini Naturale stone in lieu of standard range</t>
  </si>
  <si>
    <t>Add cupboard above fridge with one end panel</t>
  </si>
  <si>
    <t>Upgrade overhead cupboards and back of island bench to supermatt finish</t>
  </si>
  <si>
    <t>2 sheets</t>
  </si>
  <si>
    <t>Upgrade doors/drawers with no handles</t>
  </si>
  <si>
    <t>2 set of pot drawers</t>
  </si>
  <si>
    <t>3 top draws to wall bench</t>
  </si>
  <si>
    <t>Twin bin with drawer above</t>
  </si>
  <si>
    <t>Fingergrips in lieu of handles to draws and cupboards in Kitchen</t>
  </si>
  <si>
    <t>Upgrade to 900mm Westinghouse (WVE916SB) oven, Westinghouse (WHG955SA) cooktop and 700mm Electrolux (ERI712SA) rangehood in lieu of Lifestyle 600mm appliances</t>
  </si>
  <si>
    <t>Upgrade to double bowl undermount sink</t>
  </si>
  <si>
    <t>Upgrade to Lavas kitchen mixer</t>
  </si>
  <si>
    <t>Add 1215 sliding window in lieu of 1015 window to wall bench</t>
  </si>
  <si>
    <t>PANTRY</t>
  </si>
  <si>
    <t>Add wallbench to the pantry</t>
  </si>
  <si>
    <t>2 top draws to wall bench</t>
  </si>
  <si>
    <t>Fingergrips in lieu of handles to draws and underbench cupboards in Pantry</t>
  </si>
  <si>
    <t>Add 40mm standard Smartstone range stone benchtop to Pantry in lieu of laminate</t>
  </si>
  <si>
    <t>Upgrade to 40mm Borghini Naturale stone from standard range</t>
  </si>
  <si>
    <t>Pantry - add 0612 window above bench</t>
  </si>
  <si>
    <t>BED 1</t>
  </si>
  <si>
    <t>Add two banks of four drawers with two adjustable shelves to WIR</t>
  </si>
  <si>
    <t>Add 20mm standard Smartstone range stone benchtop to Ensuite in lieu of laminate</t>
  </si>
  <si>
    <t>Upgrade to 20mm Borghini Naturale stone in lieu of standard range</t>
  </si>
  <si>
    <t>Upgrade vanity to supermatt finish from standard laminate</t>
  </si>
  <si>
    <t>Upgrade to Omega countertop basins x2 in lieu of standard Lifestyle range</t>
  </si>
  <si>
    <t>Upgrade to Lavas tapware (x1 shower mixer &amp; x2 vessel basin mixers) in lieu of standard Lifestyle range</t>
  </si>
  <si>
    <t>Upgrade to Menzies 300mm shower head and round arm in lieu of standard Lifestyle range</t>
  </si>
  <si>
    <t>Upgrade to tiled shower shelf (1600mmX400mm) in lieu of Lifestyle range glass shelf</t>
  </si>
  <si>
    <t>x2 1200mm high x 655mm wide mirrors in lieu of standard full length mirror</t>
  </si>
  <si>
    <t>No charge</t>
  </si>
  <si>
    <t>Upgrade to back to wall toilet in lieu of standard Lifestyle range</t>
  </si>
  <si>
    <t>Square set cornice to ensuite in lieu of standard 75mm cove cornice</t>
  </si>
  <si>
    <t>BATHROOM/WC</t>
  </si>
  <si>
    <t>Add 20mm standard Smartstone range stone benchtop to Bath in lieu of laminate</t>
  </si>
  <si>
    <t>Upgrade to 20mm Borghini Naturale stone from standard range</t>
  </si>
  <si>
    <t>Upgrade to Omega countertop basin from standard Lifestyle range</t>
  </si>
  <si>
    <t>Upgrade to Lavas tapware (x2 bath/shr misers, x1 bath spout &amp; x1 vessel basin mixer) in lieu of standard Lifestyle range</t>
  </si>
  <si>
    <t>Upgrade to tiled shower shelf (400mmX400mm) in lieu of Lifestyle range glass shelf</t>
  </si>
  <si>
    <t>Extend laundry benchtop only by 920mm including splashback tiles</t>
  </si>
  <si>
    <t>Upgrade to barrier door to Laundry in lieu of standard flyscreen</t>
  </si>
  <si>
    <t>x44 13w downlights</t>
  </si>
  <si>
    <t>Deleted additional 18 out of Garage and left 1</t>
  </si>
  <si>
    <t>x6 3w mini downlights</t>
  </si>
  <si>
    <t>Armstrong small pendant to entry</t>
  </si>
  <si>
    <t>Proline pendant to Kitchen</t>
  </si>
  <si>
    <t>x2 Stout black pendants includes globes</t>
  </si>
  <si>
    <t>Proline black pendant to Ensuite</t>
  </si>
  <si>
    <t>Extreme vanity light</t>
  </si>
  <si>
    <t>x2 Spyda 56' black fans to Outdoor Living</t>
  </si>
  <si>
    <t>x4 Graz external light in black</t>
  </si>
  <si>
    <t>x1 Hardy bunker in black</t>
  </si>
  <si>
    <t>Upgrade light switches and powerpoints to Iconic from Clipsal 2000 series</t>
  </si>
  <si>
    <t>36 Light points</t>
  </si>
  <si>
    <t>61 Install light fittings</t>
  </si>
  <si>
    <t>2 Install ceiling fans</t>
  </si>
  <si>
    <t>TBC</t>
  </si>
  <si>
    <t>Add Navigator controller to heating and cooling in lieu of standard separate controls</t>
  </si>
  <si>
    <t>Add gas log fire to Lounge</t>
  </si>
  <si>
    <t>Add underfloor heating to Ensuite</t>
  </si>
  <si>
    <t>Add underfloor heating to Bath</t>
  </si>
  <si>
    <t>Floor to ceiling tiles in ensuite</t>
  </si>
  <si>
    <t>Tile upgrade to Ensuite (TBC)</t>
  </si>
  <si>
    <t>Floor to shower height tiles in bathroom</t>
  </si>
  <si>
    <t>Tile upgrade to Bath (TBC)</t>
  </si>
  <si>
    <t>Tile upgrade for remaining areas (TBC)</t>
  </si>
  <si>
    <t>Upgrade carpet to Godfrey Hirst</t>
  </si>
  <si>
    <t>WINDOW COVERINGS</t>
  </si>
  <si>
    <t>Allowance for blinds (TBC)</t>
  </si>
  <si>
    <t>Fencing</t>
  </si>
  <si>
    <t>Wall mounted clothesline</t>
  </si>
  <si>
    <t>Landscaping</t>
  </si>
  <si>
    <t>Exposed aggregate paving to Porch - 13.26m2</t>
  </si>
  <si>
    <t>Exposed aggregate paving to Outdoor Living - 30m2</t>
  </si>
  <si>
    <t>Exposed aggregate paving to display office path - 29m2</t>
  </si>
  <si>
    <t>Exposed aggregate paving to driveway - 41m2</t>
  </si>
  <si>
    <t>Exposed aggregate paving to walkway at the front - 24m2</t>
  </si>
  <si>
    <t>Exposed aggregate paving to walkway and clothesline area - 19m2</t>
  </si>
  <si>
    <t>Exposed aggregate paving to mower strip as per display home - 36lm</t>
  </si>
  <si>
    <t>Crossover up to 12m2 in natural concrete including permits</t>
  </si>
  <si>
    <t>Natural concrete paving</t>
  </si>
  <si>
    <t>Full height awning windows to the front, single glazed</t>
  </si>
  <si>
    <t>Raked Ceiling to family/dining &amp; outdoor living includes highlight window with square set cornice to family, dining &amp; kitchen</t>
  </si>
  <si>
    <t>Linear cornice to Entry, Lounge, Study, Foyer, Bed 1, WIR 1 &amp; 2 &amp; Ensuite</t>
  </si>
  <si>
    <t>Shirt stackers to WIR 1 &amp; WIR 2 (2 in total)</t>
  </si>
  <si>
    <t>92mm skirtings throughout in lieu of 68mm</t>
  </si>
  <si>
    <t>R2.0 Insulation to internal walls to bath, WC, WIL &amp; laundry</t>
  </si>
  <si>
    <t>DOORS</t>
  </si>
  <si>
    <t>FEATURE WALLS</t>
  </si>
  <si>
    <t>Scallop 45 Feature Wall to retreat</t>
  </si>
  <si>
    <t>Scallop 45 Feature Wall to bed 1</t>
  </si>
  <si>
    <t>Wainscotting feature wall to lounge</t>
  </si>
  <si>
    <t>KITCHEN-2 &amp; WC-2 OPTION</t>
  </si>
  <si>
    <t>Extend floor area for kitchen and add internal walls</t>
  </si>
  <si>
    <t>Lifestyle range tiles to kitchen-2 floor</t>
  </si>
  <si>
    <t>Kitchen wall bench with sink</t>
  </si>
  <si>
    <t>Separate WC with window</t>
  </si>
  <si>
    <t>Swing door in lieu of sliding to outside</t>
  </si>
  <si>
    <t>4 glass doors to appliance cupboard</t>
  </si>
  <si>
    <t>Barnyard profile cabinetry doors (allowance only, price TBC)</t>
  </si>
  <si>
    <t>Oliveri Pepe swivel sink mixer in lieu of standard inclusion</t>
  </si>
  <si>
    <t>There must be stone upgrade in the house</t>
  </si>
  <si>
    <t>Dual shower head</t>
  </si>
  <si>
    <t>Vienna toilet suite in lieu of standard inclusion</t>
  </si>
  <si>
    <t>Round vanity mirror in lieu of standard inclusion with tiles behind</t>
  </si>
  <si>
    <t>POWDER ROOM</t>
  </si>
  <si>
    <t>56 Tradetec Titan 13w LED downlights</t>
  </si>
  <si>
    <t>Tradetec Pocket 3w Mini LED downlight</t>
  </si>
  <si>
    <t>2 Lobok Bamboo pendant lights to kitchen</t>
  </si>
  <si>
    <t>Bonura small pendant to powder room</t>
  </si>
  <si>
    <t>2 Polk 30 pendant to bed 1</t>
  </si>
  <si>
    <t>31 Light points</t>
  </si>
  <si>
    <t>64 install light fittingd</t>
  </si>
  <si>
    <t>2 Two-way switches</t>
  </si>
  <si>
    <t>2 TV points</t>
  </si>
  <si>
    <t>Gas log fire to the family not including mantle</t>
  </si>
  <si>
    <t>Vinyl plank flooring in lieu of tiles</t>
  </si>
  <si>
    <t>Delano carpet in lieu of standard inclusion</t>
  </si>
  <si>
    <t>Window coverings</t>
  </si>
  <si>
    <t>Delete 50sqm of natural concrete paving</t>
  </si>
  <si>
    <t>Natural concrete crossover (up to 12m2)</t>
  </si>
  <si>
    <t>Exposed aggregate driveway as per display home</t>
  </si>
  <si>
    <t>Laundry basket on casters</t>
  </si>
  <si>
    <t>Full Height Awning Double Glazed</t>
  </si>
  <si>
    <t>Insulation</t>
  </si>
  <si>
    <t>R2.0 insulation to internal walls</t>
  </si>
  <si>
    <t>R2.5 HD insulation to internal walls</t>
  </si>
  <si>
    <t>R2.0 acoustic insulation to internal walls</t>
  </si>
  <si>
    <t>R3.5 insulation to ceiling</t>
  </si>
  <si>
    <t>R4.0 insulation to ceiling</t>
  </si>
  <si>
    <t>R5.0 insulation to ceiling</t>
  </si>
  <si>
    <t>R6.0 insulation to ceiling</t>
  </si>
  <si>
    <t>Flue rangehood out thru the roof</t>
  </si>
  <si>
    <t>* - Not including verandah and gable in Bed 1</t>
  </si>
  <si>
    <t>Up to 1800mm deep veranda to suit Homestead plnas with line ceiling (skillion/bellcast)</t>
  </si>
  <si>
    <t>Exposed aggregate paving to porch - 7.3m2</t>
  </si>
  <si>
    <t>Exposed aggregate paving to outdoor living and rear verandah - 47.5m2</t>
  </si>
  <si>
    <t>Exposed aggregate paving front verandah - 37.8m2</t>
  </si>
  <si>
    <t>Exposed aggregate path behind ensuite - 7.7m2</t>
  </si>
  <si>
    <t>Exposed aggregate path from laundry to clotesline including pad -11.7m2</t>
  </si>
  <si>
    <t>Mower strip in exposed aggregate to the remainder of the house - 27.6m2</t>
  </si>
  <si>
    <t>ENERGY RATING</t>
  </si>
  <si>
    <t>R4.0 insulation to ceilings (house only)</t>
  </si>
  <si>
    <t>Double glazing  to lounge &amp; study</t>
  </si>
  <si>
    <t>Tile upgrade to powder room</t>
  </si>
  <si>
    <t>Tiles up to ceiling in powder splashback</t>
  </si>
  <si>
    <t>Tile upgrade to laundry</t>
  </si>
  <si>
    <t>Tile upgrade to ensuite</t>
  </si>
  <si>
    <t>Tile upgrade to bathroom</t>
  </si>
  <si>
    <t>TILE UPGRADES</t>
  </si>
  <si>
    <t>Spalshback tiles upgrade to kitchen</t>
  </si>
  <si>
    <t>2.2m high wall tiles to ensuite as per display</t>
  </si>
  <si>
    <t>1200mm high wall tiles to bathroom as per display</t>
  </si>
  <si>
    <t>2 Sarina black external lights</t>
  </si>
  <si>
    <t>Wainscotting feature wall to fireplace including tiles</t>
  </si>
  <si>
    <t>Brushed nickel tapware in lieu of standard finish to all bathrooms</t>
  </si>
  <si>
    <t>Ballina 24</t>
  </si>
  <si>
    <t>Ballina 33</t>
  </si>
  <si>
    <t>Ballina 39</t>
  </si>
  <si>
    <t>MATHOURA</t>
  </si>
  <si>
    <t>FAÇADE 1A (TRADITIONAL)</t>
  </si>
  <si>
    <t>Awning windows to façade</t>
  </si>
  <si>
    <t>Eaves to porch and bed 1</t>
  </si>
  <si>
    <t>Inc</t>
  </si>
  <si>
    <t>FAÇADE 1B (TEMPO)</t>
  </si>
  <si>
    <t>Stria board gable to porch and bed 1</t>
  </si>
  <si>
    <t>FAÇADE 1Ca (TEMPO A)</t>
  </si>
  <si>
    <t>Stria board gables</t>
  </si>
  <si>
    <t>FAÇADE 1Cb (TEMPO B)</t>
  </si>
  <si>
    <t>Overlooking windows to façade</t>
  </si>
  <si>
    <t>Render finish to brick piers</t>
  </si>
  <si>
    <t>FAÇADE 2A (CLASSIC)</t>
  </si>
  <si>
    <t>Extend porch</t>
  </si>
  <si>
    <t>FAÇADE 2B (RESORT)</t>
  </si>
  <si>
    <t>Savoy entrance door</t>
  </si>
  <si>
    <t>FAÇADE 2C (MODERN)</t>
  </si>
  <si>
    <t>590 Brick pier with capped flashing</t>
  </si>
  <si>
    <t>RHS pier to be engaged</t>
  </si>
  <si>
    <t>FAÇADE 3A (CLASSIC)</t>
  </si>
  <si>
    <t>Newington entrance door</t>
  </si>
  <si>
    <t>FAÇADE 3B (HAMPTONS B)</t>
  </si>
  <si>
    <t>115 Square painted timber posts</t>
  </si>
  <si>
    <t>Exposed painted timber beam unwrapped</t>
  </si>
  <si>
    <t>Stria board Dutch gable</t>
  </si>
  <si>
    <t>Linea board to façade</t>
  </si>
  <si>
    <t>FAÇADE 3C (HAMPTONS A)</t>
  </si>
  <si>
    <t>180 Square posts</t>
  </si>
  <si>
    <t>Render to brick piers and bed 1</t>
  </si>
  <si>
    <t>FAÇADE 4A (CLASSIC 4A)</t>
  </si>
  <si>
    <t>Sliding windows throughout</t>
  </si>
  <si>
    <t>Eaves to porch and lounge</t>
  </si>
  <si>
    <t>FAÇADE 4B (RESORT 4B)</t>
  </si>
  <si>
    <t>FAÇADE 4Ca (MODERN)</t>
  </si>
  <si>
    <t>Linea board to lounge</t>
  </si>
  <si>
    <t>Render finish to lounge brick base</t>
  </si>
  <si>
    <t>FAÇADE 4Cb (GRANGE)</t>
  </si>
  <si>
    <t>FAÇADE 5A (CLASSIC)</t>
  </si>
  <si>
    <t>FAÇADE 5B (RESORT)</t>
  </si>
  <si>
    <t>Full height awning windows to façade</t>
  </si>
  <si>
    <t>470 brick piers X3 with capped flashing</t>
  </si>
  <si>
    <t>FACADE 5C (ASCENT)</t>
  </si>
  <si>
    <t>Piers - sizes vary</t>
  </si>
  <si>
    <t>Linea boards to ensuite</t>
  </si>
  <si>
    <t>14 degrees skillion roof</t>
  </si>
  <si>
    <t>Flat roof to porch</t>
  </si>
  <si>
    <t>Tile finish to 950 pier</t>
  </si>
  <si>
    <t>Render (Masterwall)</t>
  </si>
  <si>
    <t>FAÇADE 6A (TRADITIONAL)</t>
  </si>
  <si>
    <t>Eaves to porch, bed1 &amp; lounge</t>
  </si>
  <si>
    <t>FAÇADE 6B (RESORT)</t>
  </si>
  <si>
    <t>FACADE 6C (COASTAL)</t>
  </si>
  <si>
    <t>Ovelooking awning windows to façade</t>
  </si>
  <si>
    <t>590x470 Brick piers with capped flashing</t>
  </si>
  <si>
    <t>Exposed painted timber beam</t>
  </si>
  <si>
    <t>180mm painted timber posts</t>
  </si>
  <si>
    <t>Engaged brick piers behind porch</t>
  </si>
  <si>
    <t>Linea board to bed 1 &amp; lounge</t>
  </si>
  <si>
    <t xml:space="preserve">Raised portico </t>
  </si>
  <si>
    <t>FAÇADE 7A</t>
  </si>
  <si>
    <t>Add verandah</t>
  </si>
  <si>
    <t>Brick bulkhead</t>
  </si>
  <si>
    <t>FAÇADE 7B</t>
  </si>
  <si>
    <t>Extend porch &amp; add engaged brick pier</t>
  </si>
  <si>
    <t>Double gables with striaboard lining</t>
  </si>
  <si>
    <t>FAÇADE 7C</t>
  </si>
  <si>
    <t>Raised skillion roof with stria cladding</t>
  </si>
  <si>
    <t>Linea weatherboard cladding</t>
  </si>
  <si>
    <t>FAÇADE 7D</t>
  </si>
  <si>
    <t>590 Brick piers with capped flashing</t>
  </si>
  <si>
    <t>OUTDOOR LIVING/FAMILY/MEALS</t>
  </si>
  <si>
    <t>Raised ceiling (3000mm) through Family, Meals &amp; Outdoor Living with a Striaboard bulkhead in lieu of 2550mm</t>
  </si>
  <si>
    <t>Upgrade to 2618 boutique sliding doors in lieu of 2136 sliding door &amp; 1821 sliding window between Outdoor Living and Family/Meals (no flyscreens)</t>
  </si>
  <si>
    <t>Internal double cavity slider door 2100mm X up to 1640mm</t>
  </si>
  <si>
    <t>Standard  light point</t>
  </si>
  <si>
    <t>Savoy door 2340mmX820mm</t>
  </si>
  <si>
    <t>Internal double cavity slider door 2340mm X up to 1640mm</t>
  </si>
  <si>
    <t>Price rise allowance</t>
  </si>
  <si>
    <t>Pick the closest floor plan and add the items</t>
  </si>
  <si>
    <t>This sheet is good for adding area, NOT deleting</t>
  </si>
  <si>
    <t>QGEN000_0040_DWELLING</t>
  </si>
  <si>
    <t>QGEN000_0060_GARAGE</t>
  </si>
  <si>
    <t>QGEN000_0070_PORCH</t>
  </si>
  <si>
    <t>QGEN000_0080_OUTDOOR_LIVING</t>
  </si>
  <si>
    <t>QGEN340_0510_BRICK_PIER_QUANTITY</t>
  </si>
  <si>
    <t>QGEN385_0030_EAVE_TYPE_450_BRICKWORK</t>
  </si>
  <si>
    <t>QGEN200_1030_HIP</t>
  </si>
  <si>
    <t>QGEN200_1040_VALLEY_LENGTH</t>
  </si>
  <si>
    <t>QGEN200_1050_RIDGE</t>
  </si>
  <si>
    <t>QGEN205_0210_EXT_PERIMETER_WALL_BV</t>
  </si>
  <si>
    <t>QGEN205_0250_INT_WALL</t>
  </si>
  <si>
    <t>QGEN500_1050_BULKHEAD_LENGTH</t>
  </si>
  <si>
    <t>QGEN520_0030_KITCHEN_CABINET_LENGTH</t>
  </si>
  <si>
    <t>QGEN520_0070_KITCHEN_OH_LENGTH</t>
  </si>
  <si>
    <t>QGEN520_0110_ISLAND_BENCH_WITH_OVERHANG</t>
  </si>
  <si>
    <t>Ensuite vanity benches</t>
  </si>
  <si>
    <t>Ensuite vanity basins</t>
  </si>
  <si>
    <t>Bath vanity benches</t>
  </si>
  <si>
    <t>Bath vanity basins</t>
  </si>
  <si>
    <t>Extra vanity benches</t>
  </si>
  <si>
    <t>Extra vanity basins</t>
  </si>
  <si>
    <t>QGEN520_0230_VANITY_GF_ENSUITE_WIDTH</t>
  </si>
  <si>
    <t>QGEN520_0330_VANITY_GF_BATHROOM_WIDTH</t>
  </si>
  <si>
    <t>QGEN520_0250_VANITY_GF_ENSUITE_BASIN</t>
  </si>
  <si>
    <t>QGEN520_0350_VANITY_GF_BATHROOM_BASIN</t>
  </si>
  <si>
    <t>QGEN520_0430_VANITY_GF_ADDITIONAL_WIDTH</t>
  </si>
  <si>
    <t>QGEN520_0450_VANITY_GF_ADDITIONAL_BASIN</t>
  </si>
  <si>
    <t>QGEN520_0485_LAUNDRY_BASE_CUPBOARD</t>
  </si>
  <si>
    <t>90x90 steel columns</t>
  </si>
  <si>
    <t>Perimeter walls</t>
  </si>
  <si>
    <t>Kitchen overhead cupboard</t>
  </si>
  <si>
    <t>Ens vanity bench</t>
  </si>
  <si>
    <t>Ens vanity basin</t>
  </si>
  <si>
    <t>Bath vanity bench</t>
  </si>
  <si>
    <t>Bath vanity basin</t>
  </si>
  <si>
    <t>Extra vanity bench</t>
  </si>
  <si>
    <t>Extra vanity basin</t>
  </si>
  <si>
    <t>Internal swing door</t>
  </si>
  <si>
    <t>Internal double swing door</t>
  </si>
  <si>
    <t>Internal double cavity slider</t>
  </si>
  <si>
    <t>External swing door Entry</t>
  </si>
  <si>
    <t>External swing door Garage</t>
  </si>
  <si>
    <t>Built-in robes/linens</t>
  </si>
  <si>
    <t>1800mm to 2500mm wide</t>
  </si>
  <si>
    <t>2500mm to 3000mm wide</t>
  </si>
  <si>
    <t>Robe shelving wth hanging rail</t>
  </si>
  <si>
    <t>lm</t>
  </si>
  <si>
    <t>each</t>
  </si>
  <si>
    <t>Full Height Awning/ Overlooking</t>
  </si>
  <si>
    <t>Inglewood 35</t>
  </si>
  <si>
    <t>Logan 28</t>
  </si>
  <si>
    <t>BAROOGA</t>
  </si>
  <si>
    <t>SANDOWN TEMPO FAÇADE</t>
  </si>
  <si>
    <t>Engaged brick piers</t>
  </si>
  <si>
    <t>Cement sheet cladding to Bed 1 &amp; 4</t>
  </si>
  <si>
    <t>BALLINA ASCENT</t>
  </si>
  <si>
    <t>BALLINA HAMPTONS</t>
  </si>
  <si>
    <t>BALLINA RIDGE</t>
  </si>
  <si>
    <t>BALLINA ASCENT FEATURE PIER</t>
  </si>
  <si>
    <t>Skillion roof with striaboard cladding</t>
  </si>
  <si>
    <t>Extra high brick pier to bed 4</t>
  </si>
  <si>
    <t>Allowance for feature bricks, to be confirmed after colour selection</t>
  </si>
  <si>
    <t>BALLINA ASCENT RENDER</t>
  </si>
  <si>
    <t>Render to the front of house</t>
  </si>
  <si>
    <t>Nexion Trilock handle</t>
  </si>
  <si>
    <t>3 X Wall mounted feature lights to the front façade with motion sensor</t>
  </si>
  <si>
    <t>3 X Pendant lights above island bench</t>
  </si>
  <si>
    <t>Full height awning windows</t>
  </si>
  <si>
    <t>Ballina Ridge façade with Newtechwood</t>
  </si>
  <si>
    <t>INGLEWOOD 26 MODERN HOMESTEAD</t>
  </si>
  <si>
    <t>Verandah around bed 2 &amp; lounge (1500mm)</t>
  </si>
  <si>
    <t>INGLEWOOD 29 MODERN HOMESTEAD</t>
  </si>
  <si>
    <t>INGLEWOOD 31 MODERN HOMESTEAD</t>
  </si>
  <si>
    <t>INGLEWOOD 34 MODERN HOMESTEAD</t>
  </si>
  <si>
    <t>Verandah around lounge, study, bed 2, 3 &amp; 4 (1500mm)</t>
  </si>
  <si>
    <t>INGLEWOOD 35 MODERN HOMESTEAD</t>
  </si>
  <si>
    <t>Verandah around lounge &amp; study (1500mm)</t>
  </si>
  <si>
    <t>INGLEWOOD 38 MODERN HOMESTEAD</t>
  </si>
  <si>
    <t>INGLEWOOD 26 COUNTRY HOMESTEAD</t>
  </si>
  <si>
    <t>Lineaboard cladding</t>
  </si>
  <si>
    <t>INGLEWOOD 29 COUNTRY HOMESTEAD</t>
  </si>
  <si>
    <t>INGLEWOOD 31 COUNTRY HOMESTEAD</t>
  </si>
  <si>
    <t>INGLEWOOD 34 COUNTRY HOMESTEAD</t>
  </si>
  <si>
    <t>INGLEWOOD 35 COUNTRY HOMESTEAD</t>
  </si>
  <si>
    <t>INGLEWOOD 38 COUNTRY HOMESTEAD</t>
  </si>
  <si>
    <t>For all investor jobs, please take 1.25% off the base price in this list</t>
  </si>
  <si>
    <t>## FOR OWNER-OCCUPIERS PLEASE USE THE MAIN PRICE LIST ##</t>
  </si>
  <si>
    <t>90cm Inbuilt oven &amp; gas cooktop</t>
  </si>
  <si>
    <t>70cm Intergrated rangehood</t>
  </si>
  <si>
    <t>2 Banks of drawers</t>
  </si>
  <si>
    <t>1000mm with one side panel</t>
  </si>
  <si>
    <t>KITCHEN BENCHTOP PACK</t>
  </si>
  <si>
    <t xml:space="preserve">20mm Stone benchtop </t>
  </si>
  <si>
    <t>(3.2m wall bench &amp; 2.7m island)</t>
  </si>
  <si>
    <t>Undermount sink</t>
  </si>
  <si>
    <t xml:space="preserve">20mm Stone vanity benchtops </t>
  </si>
  <si>
    <t>(up to 1 x 1800mm &amp; 1 x 900mm)</t>
  </si>
  <si>
    <t>x3</t>
  </si>
  <si>
    <t>Extend bench &amp; cabinets up to 2m</t>
  </si>
  <si>
    <t>Pull out clothesbasket</t>
  </si>
  <si>
    <t>30 X LED downlights</t>
  </si>
  <si>
    <t>replaces 15 light points</t>
  </si>
  <si>
    <t>220 per pendant</t>
  </si>
  <si>
    <t>Cross over in plain concrete - up to 12m2 area</t>
  </si>
  <si>
    <r>
      <rPr>
        <b/>
        <sz val="13"/>
        <color rgb="FFFF0000"/>
        <rFont val="Calibri"/>
        <family val="2"/>
        <scheme val="minor"/>
      </rPr>
      <t>NOTE:</t>
    </r>
    <r>
      <rPr>
        <sz val="13"/>
        <color rgb="FFFF0000"/>
        <rFont val="Calibri"/>
        <family val="2"/>
        <scheme val="minor"/>
      </rPr>
      <t xml:space="preserve"> All travel rates are applicable for jobs up to 20kms from the specified towns</t>
    </r>
  </si>
  <si>
    <t xml:space="preserve">Plain </t>
  </si>
  <si>
    <t xml:space="preserve">2340mm high flush panel internal doors (12 doors) </t>
  </si>
  <si>
    <t>Hume Sorrento SOR internal doors (12 doors)</t>
  </si>
  <si>
    <t>2340mm high vinyl sliding doors to robes</t>
  </si>
  <si>
    <t>Seed</t>
  </si>
  <si>
    <t>Turf</t>
  </si>
  <si>
    <t>Turf with excavation</t>
  </si>
  <si>
    <t>600m2</t>
  </si>
  <si>
    <t>800m2</t>
  </si>
  <si>
    <t>Nature strip</t>
  </si>
  <si>
    <t>Corner block</t>
  </si>
  <si>
    <t>600m2 normal block</t>
  </si>
  <si>
    <t>600m2 corner block</t>
  </si>
  <si>
    <t>800m2 normal block</t>
  </si>
  <si>
    <t>800m2 corner block</t>
  </si>
  <si>
    <t>LANDSCAPING PRICES</t>
  </si>
  <si>
    <t xml:space="preserve">Seed </t>
  </si>
  <si>
    <t>Includes automated sprinkler sytem</t>
  </si>
  <si>
    <t>Size</t>
  </si>
  <si>
    <t>External power point</t>
  </si>
  <si>
    <t>Credit $600 to go down to a manual system</t>
  </si>
  <si>
    <t>Septic system supplied and installed by Owner, costs associated for Builders works</t>
  </si>
  <si>
    <t>Draftee travel per km</t>
  </si>
  <si>
    <t>Truck cost per km</t>
  </si>
  <si>
    <t>Carpenter travel per km</t>
  </si>
  <si>
    <t>Supervisor tavel per km</t>
  </si>
  <si>
    <t>Concrete pump travel</t>
  </si>
  <si>
    <t>Stone benchtops</t>
  </si>
  <si>
    <t>Kms</t>
  </si>
  <si>
    <t>Cost per km return</t>
  </si>
  <si>
    <t>Bunnings delivery</t>
  </si>
  <si>
    <t>Drafting inspwction travel</t>
  </si>
  <si>
    <t>Temp fencing travel</t>
  </si>
  <si>
    <t>Skip run</t>
  </si>
  <si>
    <t>site screpe travel</t>
  </si>
  <si>
    <t>Crusher dust</t>
  </si>
  <si>
    <t>Concrete supply</t>
  </si>
  <si>
    <t>Pump travel</t>
  </si>
  <si>
    <t>Bricks delivery</t>
  </si>
  <si>
    <t>Brick sand</t>
  </si>
  <si>
    <t>Stone travel</t>
  </si>
  <si>
    <t>Supervisor travel</t>
  </si>
  <si>
    <t>NSW</t>
  </si>
  <si>
    <t>Km</t>
  </si>
  <si>
    <t>120km</t>
  </si>
  <si>
    <t>71km</t>
  </si>
  <si>
    <t>62km</t>
  </si>
  <si>
    <t>135km</t>
  </si>
  <si>
    <t>137KM</t>
  </si>
  <si>
    <t xml:space="preserve">49km </t>
  </si>
  <si>
    <t>29km</t>
  </si>
  <si>
    <t>158km</t>
  </si>
  <si>
    <t>37km</t>
  </si>
  <si>
    <t>125km</t>
  </si>
  <si>
    <t>103km</t>
  </si>
  <si>
    <t>43km</t>
  </si>
  <si>
    <t>60km</t>
  </si>
  <si>
    <t>40km</t>
  </si>
  <si>
    <t>35km</t>
  </si>
  <si>
    <t>70km</t>
  </si>
  <si>
    <t>48km</t>
  </si>
  <si>
    <t>86km</t>
  </si>
  <si>
    <t>42km</t>
  </si>
  <si>
    <t>56km</t>
  </si>
  <si>
    <t>20km</t>
  </si>
  <si>
    <t>57km</t>
  </si>
  <si>
    <t>59km</t>
  </si>
  <si>
    <t>78km</t>
  </si>
  <si>
    <t>119km</t>
  </si>
  <si>
    <t>Bunnings delivery - (205, 350, 385, 395) Added extra delivery Load 5 on 545 Fix materials</t>
  </si>
  <si>
    <t>Drafting  Inspection travel</t>
  </si>
  <si>
    <t>Soil test (020)</t>
  </si>
  <si>
    <t>Building Surveyour (080)</t>
  </si>
  <si>
    <t>Council charges</t>
  </si>
  <si>
    <t>Temp fencing travel (100)</t>
  </si>
  <si>
    <t>Toilet hire (105)</t>
  </si>
  <si>
    <t>Forklift travel (105)</t>
  </si>
  <si>
    <t>Skip truck travel (115)</t>
  </si>
  <si>
    <t>Set out travel (125)</t>
  </si>
  <si>
    <t>Drainer travel (135)</t>
  </si>
  <si>
    <t>Stormy travel</t>
  </si>
  <si>
    <t>Waffle pod delivery (145)</t>
  </si>
  <si>
    <t>Crusher dust (allow 35 M3)</t>
  </si>
  <si>
    <t>Concreter machine travel (150)</t>
  </si>
  <si>
    <t>Concreter labour travel (150)</t>
  </si>
  <si>
    <t>Concreter labour accommodation</t>
  </si>
  <si>
    <t>Site scrape travel</t>
  </si>
  <si>
    <t>Concrete supply - allow 60 m3 (155)</t>
  </si>
  <si>
    <t>Concrete pump travel (160)</t>
  </si>
  <si>
    <t>Trusses (200)</t>
  </si>
  <si>
    <t>Framer travel (210)</t>
  </si>
  <si>
    <t>Framer accommodation</t>
  </si>
  <si>
    <t>Roofing delivery (315)</t>
  </si>
  <si>
    <t>Plumber travel (330)</t>
  </si>
  <si>
    <t>Electrician travel (335)</t>
  </si>
  <si>
    <t>Inspection fee</t>
  </si>
  <si>
    <t>Brick delivery for 8000 (340)</t>
  </si>
  <si>
    <t>Brick sand 9 m3 (345)</t>
  </si>
  <si>
    <t>Bricklayer travel (360)</t>
  </si>
  <si>
    <t>Eaves carpenter travel (390)</t>
  </si>
  <si>
    <t>Lock up travel (405)</t>
  </si>
  <si>
    <t>Insulation walls (445)</t>
  </si>
  <si>
    <t>Brick cleaner (450)</t>
  </si>
  <si>
    <t>Plaster delivery - allow 800 m2 (500)</t>
  </si>
  <si>
    <t>Plasterer travel (505)</t>
  </si>
  <si>
    <t>Water proofer travel (510)</t>
  </si>
  <si>
    <t>Stone benchtop (530)</t>
  </si>
  <si>
    <t>Fix carpenter travel (555)</t>
  </si>
  <si>
    <t>Fit off travel (565)</t>
  </si>
  <si>
    <t>Tiler travel (605)</t>
  </si>
  <si>
    <t>Painter travel (610)</t>
  </si>
  <si>
    <t>Shower screens (615)</t>
  </si>
  <si>
    <t>Garage door (625)</t>
  </si>
  <si>
    <t>Paving machine travel (640)</t>
  </si>
  <si>
    <t>Site clean travel (included above)</t>
  </si>
  <si>
    <t>House clean (705)</t>
  </si>
  <si>
    <t>Supervisor travel (710)</t>
  </si>
  <si>
    <t>NSW charges</t>
  </si>
  <si>
    <t>DA fee</t>
  </si>
  <si>
    <t>Insurance</t>
  </si>
  <si>
    <t>Floor waste</t>
  </si>
  <si>
    <t>Hi-impact poly</t>
  </si>
  <si>
    <t>Whirly bird</t>
  </si>
  <si>
    <t>Flue rangehood</t>
  </si>
  <si>
    <t>******Please make sure eaves are allowed above weatherboard walls</t>
  </si>
  <si>
    <t>******In case of vernada, 150mm eaves are required. Contact Estimator for pricing</t>
  </si>
  <si>
    <t>Date</t>
  </si>
  <si>
    <t>Add Lifestyle 900mmX900mm shower with centre grate</t>
  </si>
  <si>
    <t>Add Lifestyle 900mmX1200 shower with centre grate</t>
  </si>
  <si>
    <t>Netascreen Colorbond Fencing per lineal metre including installation (half share)</t>
  </si>
  <si>
    <t>Netascreen Colorbond Fencing with timber plinth per lineal metre including installation (full share)</t>
  </si>
  <si>
    <t>Netascreen Colorbond Fencing with timber plinth per lineal metre including installation (half share)</t>
  </si>
  <si>
    <t>Ballina 30A</t>
  </si>
  <si>
    <t>Insulation ceilings (675)</t>
  </si>
  <si>
    <t>Bricklayer labour extra for 8000 (360)</t>
  </si>
  <si>
    <t>This preliminary pricing is provided as a guide and is subject to review after 60 days.</t>
  </si>
  <si>
    <t>Sandown 41 MG</t>
  </si>
  <si>
    <t>Sandown 40 MG</t>
  </si>
  <si>
    <t>Sandown 34 MG</t>
  </si>
  <si>
    <t>Stormwater run double pipe (for more than 10LM)</t>
  </si>
  <si>
    <t>Water connection (050)</t>
  </si>
  <si>
    <t>1200mm x 2040mm timber glass front door</t>
  </si>
  <si>
    <t>KITCHEN CABINETRY PACK</t>
  </si>
  <si>
    <t>KITCHEN APPLIANCE PACK</t>
  </si>
  <si>
    <t>BATHROOM/ENSUITE INDULGENT PACK</t>
  </si>
  <si>
    <t>LAUNDRY INDULGENT PACK</t>
  </si>
  <si>
    <t>LIGHTING PACK 1</t>
  </si>
  <si>
    <t>LIGHTING PACK 2</t>
  </si>
  <si>
    <t>LIGHTING PACK 3</t>
  </si>
  <si>
    <t>Two television points &amp; splitter box with coaxial cable in roof space (antenna by owner)</t>
  </si>
  <si>
    <t>LIFESTYLE VALUE PACKS</t>
  </si>
  <si>
    <t xml:space="preserve">Nexion trilock handle                                             </t>
  </si>
  <si>
    <t>Bunting &amp; pickets at Benalla</t>
  </si>
  <si>
    <t>20mm stone to powder benchtop in lieu of standard laminate</t>
  </si>
  <si>
    <t>Iconic switches in vivid white in lieu of standsard Clipsal</t>
  </si>
  <si>
    <t>7 Star Allowance</t>
  </si>
  <si>
    <t>Allowance for 7 star energy rating (to be confirmed)</t>
  </si>
  <si>
    <t>7Star</t>
  </si>
  <si>
    <t>Maldon 23</t>
  </si>
  <si>
    <t>Lifestyle range of Austral bricks with natural mortar</t>
  </si>
  <si>
    <t>Newington door 2100mmX870mm</t>
  </si>
  <si>
    <t>Internal swing door 2100mm X up to 870mm</t>
  </si>
  <si>
    <t>Internal double swing door 2100mm X up to 2x870mm</t>
  </si>
  <si>
    <t>Internal swing door 2340mm X up to 870mm</t>
  </si>
  <si>
    <t>Internal double swing door 2340mm X up to 2x870mm</t>
  </si>
  <si>
    <t>Internal cavity slider door 2100mm X up to 870mm</t>
  </si>
  <si>
    <t>Internal cavity slider door 2340mm X up to 870mm</t>
  </si>
  <si>
    <t>Swing door 2100mmX870mm</t>
  </si>
  <si>
    <t>Paving Rates</t>
  </si>
  <si>
    <t>Natural</t>
  </si>
  <si>
    <t>Exp Aggregate</t>
  </si>
  <si>
    <t>20mm stone benchtop in lieu of laminate</t>
  </si>
  <si>
    <t>40mm stone benchtop in lieu of laminate</t>
  </si>
  <si>
    <t xml:space="preserve">20mm stone in lieu of laminate to 600mm deep benchtop </t>
  </si>
  <si>
    <t xml:space="preserve">40mm stone in lieu of laminate to 600mm deep benchtop </t>
  </si>
  <si>
    <t>1 X 20mm stone waterfall end</t>
  </si>
  <si>
    <t xml:space="preserve">20mm stone in lieu of laminate to 900mm deep benchtop </t>
  </si>
  <si>
    <t xml:space="preserve">40mm stone in lieu of laminate to 900mm deep benchtop </t>
  </si>
  <si>
    <t>1 X 20mm stone waterfall end to islandbench</t>
  </si>
  <si>
    <t>1 X 40mm stone waterfall end to islandbench</t>
  </si>
  <si>
    <t>AliView Screens</t>
  </si>
  <si>
    <t>Add Aliview swing door (870mmX2100mm)</t>
  </si>
  <si>
    <t>Add Aliview swing door (870mmX2400mm)</t>
  </si>
  <si>
    <t>Add Aliview swing door (1200mmX2100mm)</t>
  </si>
  <si>
    <t>Add Aliview swing door (1200mmX2400mm)</t>
  </si>
  <si>
    <t>BELLCAST HOMESTEAD 1500mm VERANDAH*</t>
  </si>
  <si>
    <t>* - A minimum ceiling height of 2550mm is required for adding a verandah</t>
  </si>
  <si>
    <t>Extend porch (9.8m2 allowed)</t>
  </si>
  <si>
    <t>2 Engaged brick piers</t>
  </si>
  <si>
    <t>Full height feature awning window 1821 single glazed</t>
  </si>
  <si>
    <t>Lightweight clad rendered bulkhead</t>
  </si>
  <si>
    <t>Newtechwood cladding to porch ceiling</t>
  </si>
  <si>
    <t>NOTE: Ceiling height to be at least 2550mm for adding a Verandah</t>
  </si>
  <si>
    <t>Ashley 28A</t>
  </si>
  <si>
    <t>0612</t>
  </si>
  <si>
    <t>0618</t>
  </si>
  <si>
    <t>0624</t>
  </si>
  <si>
    <t>Swing door  half glazed (Laundry) 2100mmX870mm</t>
  </si>
  <si>
    <t>Stria infill to skillion</t>
  </si>
  <si>
    <t>Linea board to bed 1</t>
  </si>
  <si>
    <t>Full length awning windows to façade</t>
  </si>
  <si>
    <t xml:space="preserve">Perimeter moulding around gable panels with one vent </t>
  </si>
  <si>
    <t>Raised portico with stria infill or Newtechwood cladding</t>
  </si>
  <si>
    <t>3/4 470 Brick piers with brick capping</t>
  </si>
  <si>
    <t>Stria board Dutch gable with perimeter moulding and vent</t>
  </si>
  <si>
    <t>Raised prtico with stria bulkhead or Newtechwood cladding</t>
  </si>
  <si>
    <t>Tile finish to RHS brick pier</t>
  </si>
  <si>
    <t>590x470 Brick piers</t>
  </si>
  <si>
    <t>Raised porch with stria or newtechwod cladding infill</t>
  </si>
  <si>
    <t>Raised porch with stria or newtechwood bulkhead</t>
  </si>
  <si>
    <t>200mmX200mm oiled ironbark posts</t>
  </si>
  <si>
    <t>Raised porch with gable</t>
  </si>
  <si>
    <t>Raised porch with brick bulkhead</t>
  </si>
  <si>
    <t>PARKDALE 30 DISPLAY FAÇADE*</t>
  </si>
  <si>
    <t>Raised porch with infill brick wall</t>
  </si>
  <si>
    <t>2 X 710mm wider piers to porch</t>
  </si>
  <si>
    <t>* - Maximum width of the porch to be 6.5m</t>
  </si>
  <si>
    <t>Raised masterwall bulkhead with render</t>
  </si>
  <si>
    <t>Disclaimer: Façade costings only include porches, windows, cladding, gables etc.                                                                                                                                               Does not include features like lights, upgraded front or garage door, feature or upgraded bricks etc.</t>
  </si>
  <si>
    <t>R6.0 Insulation batts to ceiling (excludes garage ceiling)</t>
  </si>
  <si>
    <t>R2.5 Insulation batts plus sisalation paper to external walls (excludes garage external walls)</t>
  </si>
  <si>
    <t>R6.0 Ceiling insulation and R2.5 external wall insulation</t>
  </si>
  <si>
    <t>Bathurst 25</t>
  </si>
  <si>
    <t>Bathurst 30</t>
  </si>
  <si>
    <t>Bathurst 34</t>
  </si>
  <si>
    <t>101km</t>
  </si>
  <si>
    <t>Add engaged brick pier</t>
  </si>
  <si>
    <t>Facade pricing July 2024</t>
  </si>
  <si>
    <t>Maldon 33</t>
  </si>
  <si>
    <t>3kw Electric solar panel system - allowance only</t>
  </si>
  <si>
    <t>860mm integrated rangehood</t>
  </si>
  <si>
    <t xml:space="preserve">Brick pier 470mm X 470mm up to 2.7m high </t>
  </si>
  <si>
    <t>Standard floor area including Colorbond roof (not including floor coverings)</t>
  </si>
  <si>
    <t>Post Slab Inspection Travel (135)</t>
  </si>
  <si>
    <t>Install light fitting (Excluding LEDs)</t>
  </si>
  <si>
    <t xml:space="preserve">Install LED light </t>
  </si>
  <si>
    <t>Tradetec Titan 13W LED Downlight supply only</t>
  </si>
  <si>
    <t>Tradetec Arte Mini LED downlight supply only</t>
  </si>
  <si>
    <t>Blade 36W LED fluroscent light supply only</t>
  </si>
  <si>
    <t>Chopper twin LED floodlight supply only</t>
  </si>
  <si>
    <t>32Amp shed point - single phase</t>
  </si>
  <si>
    <t>40Amp shed point - single phase</t>
  </si>
  <si>
    <t>32Amp shed point - three phase</t>
  </si>
  <si>
    <t>40Amp shed point - three phase</t>
  </si>
  <si>
    <t>Bath</t>
  </si>
  <si>
    <t>Toilet</t>
  </si>
  <si>
    <t>Per wet area</t>
  </si>
  <si>
    <t>Enclosed Showers Only</t>
  </si>
  <si>
    <t>Extra for Open shower</t>
  </si>
  <si>
    <t>Extra for shower not compltely enclosed by glass screens - Allowance only</t>
  </si>
  <si>
    <t>16/10/24 - Add $50 for TV Antenna Instal</t>
  </si>
  <si>
    <t>Extend shower by 100mm  up to 2000mm over 1200mm</t>
  </si>
  <si>
    <t>Kiewa 15</t>
  </si>
  <si>
    <t>Kiewa 17</t>
  </si>
  <si>
    <t>Kiewa 18</t>
  </si>
  <si>
    <t>Kiewa 21</t>
  </si>
  <si>
    <t>Ashley 21</t>
  </si>
  <si>
    <t>LIFESTYLE VALUE PACKS - NOV 2024</t>
  </si>
  <si>
    <t>Above counter basins</t>
  </si>
  <si>
    <t>MALDON DISPLAY PRICING</t>
  </si>
  <si>
    <t>Cavalier Homes Maldon Display Home</t>
  </si>
  <si>
    <t>Date: 16/12/2024</t>
  </si>
  <si>
    <t>Lot 57 (35) Sunbird Way, Kialla</t>
  </si>
  <si>
    <t>HOUSE PRICE</t>
  </si>
  <si>
    <t>Base Price</t>
  </si>
  <si>
    <t xml:space="preserve">Tiles </t>
  </si>
  <si>
    <t>Carpet</t>
  </si>
  <si>
    <t>SITE COSTS</t>
  </si>
  <si>
    <t>No site costs included, sales staff to work out by job</t>
  </si>
  <si>
    <t>Note only</t>
  </si>
  <si>
    <t>ENERGY RATING - as per Display Home Orientation</t>
  </si>
  <si>
    <t>3kw Electric solar panel system - Allowance only</t>
  </si>
  <si>
    <t>Note: not on display however new regulations, would likely have to do</t>
  </si>
  <si>
    <t>Double glazing to whole home - display home windows &amp; sliding doors</t>
  </si>
  <si>
    <t>2550mm Ceiling height</t>
  </si>
  <si>
    <t>Raked ceiling to kitchen, family, meals &amp; outdoor living including highlight windows</t>
  </si>
  <si>
    <t>450mm eaves to whole home</t>
  </si>
  <si>
    <t>FAÇADE &amp; EXTERNAL</t>
  </si>
  <si>
    <t>Maldon Façade - extend porch, add double gable with vents &amp; fretwork and rendered half piers with double timber posts to porch</t>
  </si>
  <si>
    <t>Extend outdoor area</t>
  </si>
  <si>
    <t>Alcove - add alcove, double gable with vents &amp; fretwork, rendered half piers with double timber posts to alcove and french doors</t>
  </si>
  <si>
    <t>Note: rendered half piers can only be done if front porch is done</t>
  </si>
  <si>
    <t>Add pergola</t>
  </si>
  <si>
    <t>Weatherboards to front façade - Lounge to Bed 3</t>
  </si>
  <si>
    <t>Weatherboards to alcove/ensuite - note: can only be used with weatherboards to front</t>
  </si>
  <si>
    <t>Note: this can only be used if weatherboards on front façade are completed/minimum m2</t>
  </si>
  <si>
    <t>Upgrade brick</t>
  </si>
  <si>
    <t>Light sand off white cement</t>
  </si>
  <si>
    <t>Extend garage</t>
  </si>
  <si>
    <t>90mm Skirting</t>
  </si>
  <si>
    <t>Mudroom benchtop with thermolaminate drawers and open shelves above</t>
  </si>
  <si>
    <t xml:space="preserve">Lounge shelving with feature panelling </t>
  </si>
  <si>
    <t>Note: as per display x2 1200mm wide sections, if full wall required must be quoted</t>
  </si>
  <si>
    <t>Entry feature panelling with floating bench</t>
  </si>
  <si>
    <t>Desk to bed 2</t>
  </si>
  <si>
    <t>Gold tapware, basin wastes, towel rails &amp; toilet roll holders throughout home</t>
  </si>
  <si>
    <t>Note: includes x3 basin mixers</t>
  </si>
  <si>
    <t>Black shower grates, screens, trims &amp; robe frames</t>
  </si>
  <si>
    <t>Linear cornice to entry, lounge, hall, retreat, bed 1, WIR, ensuite &amp; ensuite WC</t>
  </si>
  <si>
    <t>Homeguard red termite barrier</t>
  </si>
  <si>
    <t>Window coverings - allowance only</t>
  </si>
  <si>
    <t>Note: allowance only</t>
  </si>
  <si>
    <t>DOORS &amp; WINDOWS</t>
  </si>
  <si>
    <t>2340mm x 1200mm front door</t>
  </si>
  <si>
    <t>Upgrade front door</t>
  </si>
  <si>
    <t>Nexion front door handle</t>
  </si>
  <si>
    <t>Black door handles throughout</t>
  </si>
  <si>
    <t>Barndoors to Lounge</t>
  </si>
  <si>
    <t>2340mm internal doors (except Ensuite WC cavity)</t>
  </si>
  <si>
    <t>Note: 10 doors only</t>
  </si>
  <si>
    <t>HAG12 Internal doors</t>
  </si>
  <si>
    <t>Note: 10 doors only &amp; $120 per door</t>
  </si>
  <si>
    <t>Overlooking windows to front façade</t>
  </si>
  <si>
    <t>Upgrade windows &amp; sliding doors to remainder of house as per display</t>
  </si>
  <si>
    <t>Note: upgrade as per home</t>
  </si>
  <si>
    <t>Bar handle (D-handle) &amp; fingergrip to Family &amp; Retreat sliders</t>
  </si>
  <si>
    <t>Note: $480 each</t>
  </si>
  <si>
    <t>No flydoors to Family &amp; Retreat sliders</t>
  </si>
  <si>
    <t>ROBES &amp; SHELVING</t>
  </si>
  <si>
    <t>2300mm high robe/linen doors</t>
  </si>
  <si>
    <t>Note: 8 doors &amp; $50 per door</t>
  </si>
  <si>
    <t>2 x Banks of 2 shelves &amp; 4 drawers to WIR</t>
  </si>
  <si>
    <t>1 Section of double hanging</t>
  </si>
  <si>
    <t>Note: 1700mm long</t>
  </si>
  <si>
    <t>1200mm deep island bench</t>
  </si>
  <si>
    <t>40mm stone in upgraded range - allowance only</t>
  </si>
  <si>
    <t>Note: allowance only, dependant on size and colour chosen</t>
  </si>
  <si>
    <t>Thermolaminated cabinetry - allowance only</t>
  </si>
  <si>
    <t>Note: allowance only, dependant on size and profile chosen</t>
  </si>
  <si>
    <t>Feature island bench</t>
  </si>
  <si>
    <t>Appliance cupboard with fleet line glass and two banks of drawers below</t>
  </si>
  <si>
    <t>Cabinet handles</t>
  </si>
  <si>
    <t>900mm oven &amp; gas cooktop and 800mm intergrated rangehood</t>
  </si>
  <si>
    <t>Overhead cupboard to fridge</t>
  </si>
  <si>
    <t>2000mm Laminate benchtop and cupboards</t>
  </si>
  <si>
    <t>40mm stone in upgraded range</t>
  </si>
  <si>
    <t>Thermolaminated cabinetry</t>
  </si>
  <si>
    <t>Single bowl undermount sink</t>
  </si>
  <si>
    <t>20mm stone in upgraded range</t>
  </si>
  <si>
    <t>Two banks of drawers and two open shelves to vanity</t>
  </si>
  <si>
    <t>Additional basin</t>
  </si>
  <si>
    <t>Countertop basin</t>
  </si>
  <si>
    <t>Oval mirrors x2</t>
  </si>
  <si>
    <t>1/2 height shower wall</t>
  </si>
  <si>
    <t>Stone capping to shower wall - must have stone to house</t>
  </si>
  <si>
    <t>Note: must have stone in house, otherwise will be tile capping</t>
  </si>
  <si>
    <t>Oval mirror</t>
  </si>
  <si>
    <t>Tiled shower shelf</t>
  </si>
  <si>
    <t>Extend laminate bench only by 1040mm</t>
  </si>
  <si>
    <t>Upgrade sink</t>
  </si>
  <si>
    <t>68 x Downlights</t>
  </si>
  <si>
    <t>Note: 29 light points</t>
  </si>
  <si>
    <t>2 x Surface mount downlights to entry</t>
  </si>
  <si>
    <t xml:space="preserve">1 x Surface mount downlight to bed 2 </t>
  </si>
  <si>
    <t>2 x Pendants to island bench</t>
  </si>
  <si>
    <t>2 x Pendants to bed 1</t>
  </si>
  <si>
    <t>6 x Façade lights</t>
  </si>
  <si>
    <t>Upgrade exhaust fans x3</t>
  </si>
  <si>
    <t>Iconic light switches &amp; powerpoints - allowance</t>
  </si>
  <si>
    <t>Note: allowance only as fan controllers are more expensive</t>
  </si>
  <si>
    <t>3 Way switch</t>
  </si>
  <si>
    <t>9 DGPOs</t>
  </si>
  <si>
    <t>Reverse cycle heating and cooling - allowance</t>
  </si>
  <si>
    <t>Note: get your own quote for individual client</t>
  </si>
  <si>
    <t>Electric fireplace</t>
  </si>
  <si>
    <t>Hearth for the fireplace</t>
  </si>
  <si>
    <t>Tile capping for mantle</t>
  </si>
  <si>
    <t xml:space="preserve">Labour to be confirmed </t>
  </si>
  <si>
    <t>FLOOR COVERINGS/TILING</t>
  </si>
  <si>
    <t>Upgrade carpet to Delano range - allowance only</t>
  </si>
  <si>
    <t>Note: have repriced if areas changed</t>
  </si>
  <si>
    <t>Upgrade to vinyl in builders range - allowance only</t>
  </si>
  <si>
    <t>Note: have repriced if areas changed, vinyl priced at $139m2</t>
  </si>
  <si>
    <t>2200mm high wall tiles to whole ensuite</t>
  </si>
  <si>
    <t>Additional tiles to bathroom</t>
  </si>
  <si>
    <t>Upgrade tiles throughout home - allowance only</t>
  </si>
  <si>
    <t>Pavers to outdoor/pergola &amp; alcove - allowance only</t>
  </si>
  <si>
    <t>Note: this price includes the required paving underneath, ensure have repriced if areas change</t>
  </si>
  <si>
    <t>Note: Do not use this, work out concrete as normal</t>
  </si>
  <si>
    <t>Natural concrete crossover</t>
  </si>
  <si>
    <t>PRICE</t>
  </si>
  <si>
    <t>Façade break-ups</t>
  </si>
  <si>
    <t>Double gable with vents to porch</t>
  </si>
  <si>
    <t>Rendered half piers with double timber posts to porch</t>
  </si>
  <si>
    <t>Fretwork to porch</t>
  </si>
  <si>
    <t>Add alcove</t>
  </si>
  <si>
    <t>Rendered half pier with double timber posts to alcove</t>
  </si>
  <si>
    <t>Can be done only with Porch piers</t>
  </si>
  <si>
    <t>Double gable to bed 1 &amp; alcove with vents</t>
  </si>
  <si>
    <t>Fretwork to alcove</t>
  </si>
  <si>
    <t>Door to alcove</t>
  </si>
  <si>
    <t>PARKDALE DISPLAY PRICING</t>
  </si>
  <si>
    <t>Cavalier Homes Parkdale Display Home</t>
  </si>
  <si>
    <t xml:space="preserve">Lot 56 (26) Lorikeet Street, Kialla </t>
  </si>
  <si>
    <t>Parkdale Façade - rendered feature bulkhead and newtech porch ceiling</t>
  </si>
  <si>
    <t>Full height awning windows to front façade</t>
  </si>
  <si>
    <t>Feature brick - allowance only</t>
  </si>
  <si>
    <t>Note: allowance only, dependant on selected brick</t>
  </si>
  <si>
    <t>Hume joinery front entry door</t>
  </si>
  <si>
    <t>Eaves all around</t>
  </si>
  <si>
    <t>Add a powder room by modifying pantry and deleting nook</t>
  </si>
  <si>
    <t>Light sand &amp; grey cement</t>
  </si>
  <si>
    <t>1812 window to Family</t>
  </si>
  <si>
    <t>1821 Window in lieu of 2127 sliding door to Family</t>
  </si>
  <si>
    <t>Illume skylight to kitchen - allowance only</t>
  </si>
  <si>
    <t>Note only: allowance only, dependant on size</t>
  </si>
  <si>
    <t>45 LED Downlights</t>
  </si>
  <si>
    <t>Note: 19 light points</t>
  </si>
  <si>
    <t>Climene II 1800mm pendant light</t>
  </si>
  <si>
    <t>TV Antenna</t>
  </si>
  <si>
    <t>Crossover</t>
  </si>
  <si>
    <t>135 m2 of exposed agg concrete</t>
  </si>
  <si>
    <t>137 m2 of exposed aggregate paving</t>
  </si>
  <si>
    <t>Independent 7 star energy rating and whole of home assessment</t>
  </si>
  <si>
    <t>Westinghouse 60cm stainless steel slideout rangehood (flued to outside air)</t>
  </si>
  <si>
    <t>Fixing Stage A</t>
  </si>
  <si>
    <t>Fixing Stage B</t>
  </si>
  <si>
    <t>POA for any job outside 20km from town centre location as per google maps</t>
  </si>
  <si>
    <t>Ashley 22A</t>
  </si>
  <si>
    <t>Bonus</t>
  </si>
  <si>
    <t>Up to 24 sq</t>
  </si>
  <si>
    <t>Above 24 sq</t>
  </si>
  <si>
    <r>
      <rPr>
        <b/>
        <sz val="16"/>
        <color indexed="62"/>
        <rFont val="Arial"/>
        <family val="2"/>
      </rPr>
      <t>LIFESTYLE</t>
    </r>
    <r>
      <rPr>
        <sz val="16"/>
        <rFont val="Arial"/>
        <family val="2"/>
      </rPr>
      <t xml:space="preserve"> SINGLE STOREY PRICE LIST VALID UP TO AUG 2025</t>
    </r>
  </si>
  <si>
    <r>
      <rPr>
        <b/>
        <sz val="16"/>
        <color indexed="62"/>
        <rFont val="Arial"/>
        <family val="2"/>
      </rPr>
      <t>LIFESTYLE</t>
    </r>
    <r>
      <rPr>
        <sz val="16"/>
        <rFont val="Arial"/>
        <family val="2"/>
      </rPr>
      <t xml:space="preserve"> HOMESTEAD PRICE LIST VALID UP TO AUG 2025</t>
    </r>
  </si>
  <si>
    <r>
      <rPr>
        <b/>
        <sz val="16"/>
        <color indexed="62"/>
        <rFont val="Arial"/>
        <family val="2"/>
      </rPr>
      <t>LIFESTYLE</t>
    </r>
    <r>
      <rPr>
        <sz val="16"/>
        <rFont val="Arial"/>
        <family val="2"/>
      </rPr>
      <t xml:space="preserve"> NARROW BLOCK PRICE LIST VALID UP TO AUG 2025</t>
    </r>
  </si>
  <si>
    <r>
      <rPr>
        <b/>
        <sz val="16"/>
        <color indexed="62"/>
        <rFont val="Arial"/>
        <family val="2"/>
      </rPr>
      <t>LIFESTYLE</t>
    </r>
    <r>
      <rPr>
        <sz val="16"/>
        <rFont val="Arial"/>
        <family val="2"/>
      </rPr>
      <t xml:space="preserve"> 20 x 20 BLOCK PRICE LIST VALID UP TO AUG 2025</t>
    </r>
  </si>
  <si>
    <r>
      <rPr>
        <b/>
        <sz val="16"/>
        <color indexed="62"/>
        <rFont val="Arial"/>
        <family val="2"/>
      </rPr>
      <t xml:space="preserve">DOUBLE STOREY </t>
    </r>
    <r>
      <rPr>
        <sz val="16"/>
        <rFont val="Arial"/>
        <family val="2"/>
      </rPr>
      <t>PRICE LIST VALID UP TO AUG 2025</t>
    </r>
  </si>
  <si>
    <r>
      <rPr>
        <b/>
        <sz val="16"/>
        <color indexed="57"/>
        <rFont val="Arial"/>
        <family val="2"/>
      </rPr>
      <t>INVESTOR</t>
    </r>
    <r>
      <rPr>
        <sz val="16"/>
        <rFont val="Arial"/>
        <family val="2"/>
      </rPr>
      <t xml:space="preserve"> PRICE LIST VALID UP TO AUGUST 2025</t>
    </r>
  </si>
  <si>
    <t>Bonus will be reviewed in August 2025</t>
  </si>
  <si>
    <t>*TILES &amp; CARPET</t>
  </si>
  <si>
    <t>Additional Lifestyle shower head (centre grate only)</t>
  </si>
  <si>
    <t xml:space="preserve">Long rectangular grate to shower </t>
  </si>
  <si>
    <t>Price accordingly in March</t>
  </si>
  <si>
    <t>Keep ordering at the same rate for now</t>
  </si>
  <si>
    <t>Stormy line prices to be the same as sewer.</t>
  </si>
  <si>
    <t>Neopower Heat pump 315L as standard</t>
  </si>
  <si>
    <t>Neopower heat pump hot water service with 315L tank</t>
  </si>
  <si>
    <t xml:space="preserve">1200mm x 2040mm front entry door                                                </t>
  </si>
  <si>
    <t>Upgrade entry door 2100mmX870mm</t>
  </si>
  <si>
    <t>Upgrade entry door 2100mmX1200mm</t>
  </si>
  <si>
    <t>Upgrade entry door 2340mmX1200mm</t>
  </si>
  <si>
    <t>Delete bank of draws from vanities</t>
  </si>
  <si>
    <t>Vanessa Brewis</t>
  </si>
  <si>
    <t>Gavin &amp; Taleitha Alder</t>
  </si>
  <si>
    <t>Client/s Email Address: gavin_alder@hotmail.com | taleitha_alder@hotmail.com</t>
  </si>
  <si>
    <t>Lot 10, 72 Latham Road Echuca Victoria 3564</t>
  </si>
  <si>
    <t>Developer to supply and install a low pressurised sewer pump within 6 metres of the home (Ownwer to organise with Developer the installation of the sewer pump).  Builder to run from the pump to the home</t>
  </si>
  <si>
    <r>
      <t>Water run (</t>
    </r>
    <r>
      <rPr>
        <b/>
        <sz val="10"/>
        <rFont val="Arial"/>
        <family val="2"/>
      </rPr>
      <t>12m</t>
    </r>
    <r>
      <rPr>
        <sz val="10"/>
        <rFont val="Arial"/>
        <family val="2"/>
      </rPr>
      <t xml:space="preserve"> of additional run)</t>
    </r>
  </si>
  <si>
    <r>
      <t>Stormwater run (</t>
    </r>
    <r>
      <rPr>
        <b/>
        <sz val="10"/>
        <rFont val="Arial"/>
        <family val="2"/>
      </rPr>
      <t>12m</t>
    </r>
    <r>
      <rPr>
        <sz val="10"/>
        <rFont val="Arial"/>
        <family val="2"/>
      </rPr>
      <t xml:space="preserve"> of additional run)</t>
    </r>
  </si>
  <si>
    <r>
      <t xml:space="preserve">Temporary fencing (additional </t>
    </r>
    <r>
      <rPr>
        <b/>
        <sz val="10"/>
        <rFont val="Arial"/>
        <family val="2"/>
      </rPr>
      <t>43m</t>
    </r>
    <r>
      <rPr>
        <sz val="10"/>
        <rFont val="Arial"/>
        <family val="2"/>
      </rPr>
      <t>)</t>
    </r>
  </si>
  <si>
    <t xml:space="preserve">188-24V MOYLE/SAVILLE - Lt 5 Latham Road </t>
  </si>
  <si>
    <t xml:space="preserve">2550mm ceiling height </t>
  </si>
  <si>
    <t>600mm wide extension from Retreat through to Bed 4</t>
  </si>
  <si>
    <t>see workings tab</t>
  </si>
  <si>
    <t>Standard floor area incl. roof</t>
  </si>
  <si>
    <t>9.8m standard x .6m extension</t>
  </si>
  <si>
    <t>Bricks</t>
  </si>
  <si>
    <t>Carpet (Retreat &amp; Bedrooms)</t>
  </si>
  <si>
    <t>Retreat - 2.4m2 &amp; Bedroom - 2.34m2</t>
  </si>
  <si>
    <t>2550mm ceiling</t>
  </si>
  <si>
    <t xml:space="preserve">1300mm wide extension to Garage </t>
  </si>
  <si>
    <t xml:space="preserve">2550mm ceiling </t>
  </si>
  <si>
    <t>Brick Wall</t>
  </si>
  <si>
    <t>Ridge</t>
  </si>
  <si>
    <t>2100mm x 5400mm sectional garage door in lieu of 2100mm x 4800mm</t>
  </si>
  <si>
    <t>* The 600mm wide extension to Bed 4 is evenly distributed btw Bed 4, Bed 3 and Bed 2 (200mm each)</t>
  </si>
  <si>
    <t xml:space="preserve">Concrete Footings </t>
  </si>
  <si>
    <t xml:space="preserve">550mm wide extension to Butler's Pantry </t>
  </si>
  <si>
    <t>.55 x 2.1</t>
  </si>
  <si>
    <t>BUTLER'S PANTRY</t>
  </si>
  <si>
    <t>3m long bench</t>
  </si>
  <si>
    <t>3.4m wall bench + 3m island bench</t>
  </si>
  <si>
    <t>2 x 40mm stone waterfall ends to island benchtop</t>
  </si>
  <si>
    <t xml:space="preserve">2.2m </t>
  </si>
  <si>
    <t>extension to standard shelving</t>
  </si>
  <si>
    <t>1.8m</t>
  </si>
  <si>
    <t>1/2 Height shower wall</t>
  </si>
  <si>
    <t>Stone capping to shower wall (must have stone to house)</t>
  </si>
  <si>
    <t>2340mm high internal doors and cavity sliders (total 11)</t>
  </si>
  <si>
    <t>Above counter basin</t>
  </si>
  <si>
    <t xml:space="preserve">720mm cavity slider in lieu of swing hinged door </t>
  </si>
  <si>
    <t>Dual shower head to Bathroom</t>
  </si>
  <si>
    <t>Vinyl (Hallway)</t>
  </si>
  <si>
    <t>https://www.zipwater.com/shop/hydrotap</t>
  </si>
  <si>
    <t>2 x 710mm wider piers to porch</t>
  </si>
  <si>
    <t>2 x Engaged brick piers</t>
  </si>
  <si>
    <t xml:space="preserve">Extend Porch </t>
  </si>
  <si>
    <t>New Porch - 9.35m2 | Standard Porch 5.08m2 = difference 4.27m2</t>
  </si>
  <si>
    <t>4.27m2</t>
  </si>
  <si>
    <t xml:space="preserve">Porch Extension - </t>
  </si>
  <si>
    <t>Extend Roof Area to add Patio</t>
  </si>
  <si>
    <t>Pation Beam</t>
  </si>
  <si>
    <t>3.3lm</t>
  </si>
  <si>
    <t>Convert Lounge to Study and resize to 3300mm x 3300mm</t>
  </si>
  <si>
    <t xml:space="preserve">Internal Wall </t>
  </si>
  <si>
    <r>
      <t>Electricity run (</t>
    </r>
    <r>
      <rPr>
        <b/>
        <sz val="10"/>
        <rFont val="Arial"/>
        <family val="2"/>
      </rPr>
      <t>27m</t>
    </r>
    <r>
      <rPr>
        <sz val="10"/>
        <rFont val="Arial"/>
        <family val="2"/>
      </rPr>
      <t xml:space="preserve"> of additional run) </t>
    </r>
  </si>
  <si>
    <t xml:space="preserve">Concrete </t>
  </si>
  <si>
    <t>O/D living</t>
  </si>
  <si>
    <t>Porch</t>
  </si>
  <si>
    <t>Additional 8m2 Natural concrete paving incl. Outdoor Living &amp; Porch (total 58m2)</t>
  </si>
  <si>
    <t xml:space="preserve">Extend Garage width by 1300mm </t>
  </si>
  <si>
    <t>Extend island bench by 300mm</t>
  </si>
  <si>
    <t>Extend 600mm through Retreat &amp; hallway and 200mm through Bed 2,3 &amp; 4</t>
  </si>
  <si>
    <t>Extend &amp; Reconfigure WIP, Study, Hallway &amp; Lounge as per Plan</t>
  </si>
  <si>
    <t>Delete WIP</t>
  </si>
  <si>
    <t>Door</t>
  </si>
  <si>
    <t>no</t>
  </si>
  <si>
    <t>Note Only</t>
  </si>
  <si>
    <t>see workings</t>
  </si>
  <si>
    <t>40mm stone benchtops</t>
  </si>
  <si>
    <t xml:space="preserve">Wall in lieu of glass shower screen </t>
  </si>
  <si>
    <t>Overhead cupboards 2000mm</t>
  </si>
  <si>
    <t>Site Costs Calculations</t>
  </si>
  <si>
    <t>House area</t>
  </si>
  <si>
    <t>RURAL JOBS</t>
  </si>
  <si>
    <t>Slab perimeter- enter length when deepened edge beams &amp; for slabs above MD</t>
  </si>
  <si>
    <t xml:space="preserve">FOR ALL RURAL JOBS PLEASE ALLOW H1-D (300mm PODS) </t>
  </si>
  <si>
    <t>BECAUSE MOST OF THEM NEEDS TO BE 300MM ABOVE SURROUNDINGS</t>
  </si>
  <si>
    <t>Slab upgrade calculations</t>
  </si>
  <si>
    <t>Number of Concrete Piers up to 1.0m deep</t>
  </si>
  <si>
    <t>Ea</t>
  </si>
  <si>
    <t>Number of Concrete Piers from 1.0m deep to 1.5m deep</t>
  </si>
  <si>
    <t>Number of Steel Screw pile up to 3.0m deep</t>
  </si>
  <si>
    <t>Number of Steel Screw pile up to 4.0m deep</t>
  </si>
  <si>
    <t>Number of Piers above 4.0m deep</t>
  </si>
  <si>
    <t>H1-D slab with 300mm waffle pod slabs in lieu of standard MD slab with 225mm pods (Area of Dwelling + Garage)</t>
  </si>
  <si>
    <t>H1-D slab with 375mm waffle pod slabs in lieu of standard MD slab with 225mm pods (Area of Dwelling + Garage)</t>
  </si>
  <si>
    <t>H2-D slab with 375mm waffle pod slabs in lieu of standard MD slab with 225mm pods (Area of Dwelling + Garage)</t>
  </si>
  <si>
    <t>Travel for piers</t>
  </si>
  <si>
    <t>Travel over 20km (Enter one-way distance from Shepparton)</t>
  </si>
  <si>
    <t>KM</t>
  </si>
  <si>
    <t>Deepned edge beams</t>
  </si>
  <si>
    <t>Deepened edge beams (per 100mm depth) - enter length</t>
  </si>
  <si>
    <t>1 for YES</t>
  </si>
  <si>
    <t>Sub-total</t>
  </si>
  <si>
    <t>Power</t>
  </si>
  <si>
    <t>Extra power run over standard if more than 9m (up to 40m)</t>
  </si>
  <si>
    <t>m</t>
  </si>
  <si>
    <t>Water</t>
  </si>
  <si>
    <t>Extra water run if set back is more than 6m</t>
  </si>
  <si>
    <t>Extra if wet tapping and mains more than 150mm dia</t>
  </si>
  <si>
    <t>Long water tapping</t>
  </si>
  <si>
    <t>Extra if not tapping and water mains is on other side of road (enter 1)</t>
  </si>
  <si>
    <t>Sewer</t>
  </si>
  <si>
    <t>Extra sewer run over standard if lot is more than 700m2</t>
  </si>
  <si>
    <t>Ground movement if more than 40mm? (enter 1)</t>
  </si>
  <si>
    <t>Sewer tie depth more than 1.5m</t>
  </si>
  <si>
    <t>Stormy</t>
  </si>
  <si>
    <t>Extra storm water run if set back is more than 6m</t>
  </si>
  <si>
    <t>BAL</t>
  </si>
  <si>
    <t>BAL -Nill</t>
  </si>
  <si>
    <t>BAL-12.5</t>
  </si>
  <si>
    <t>BAL-19</t>
  </si>
  <si>
    <t>Extra $12000 for 60piers</t>
  </si>
  <si>
    <t>Delete 600mm lifestyle kitchen appliances, client to supply own kitchen appliances (electric oven, gas cooktop, dishwasher &amp; slide out rangehood)</t>
  </si>
  <si>
    <t>Installation of integrated dishwasher (supplied by client)</t>
  </si>
  <si>
    <t>Installation of integrated microwave (supplied by client)</t>
  </si>
  <si>
    <t>Reduce Kitchen wall bench &amp; cupboards by 1600mm</t>
  </si>
  <si>
    <t>Bench with Cupboards - 2200mm</t>
  </si>
  <si>
    <t>Storage cupboard</t>
  </si>
  <si>
    <t>2nd basin &amp; mixer</t>
  </si>
  <si>
    <t>Stone capping to shower wall</t>
  </si>
  <si>
    <t xml:space="preserve">Floor to ceiling tiles to Bathroom </t>
  </si>
  <si>
    <t>Extend shower - 1000mm</t>
  </si>
  <si>
    <t xml:space="preserve">Extend shelving &amp; add dead wall - 900mm </t>
  </si>
  <si>
    <t>2 x Arched Mirrors in lieu of standard mirror</t>
  </si>
  <si>
    <t>Custom Façade - Raised Rendered Bulkhead</t>
  </si>
  <si>
    <t>2 x Double power point to Broom Pocket &amp; Double Fridge in Butler's Pantry</t>
  </si>
  <si>
    <t>1812 Sliding window to Study in lieu of 1824 sliding window</t>
  </si>
  <si>
    <t>1809 Awning window in lieu of 1818 sliding window</t>
  </si>
  <si>
    <t xml:space="preserve">Pricing from kitchen overhead cupboards </t>
  </si>
  <si>
    <t xml:space="preserve">Does this exist? Refer to picture in Job Notes </t>
  </si>
  <si>
    <t>3 x 2-4 bank of draws to rear wall bench in Kitchen</t>
  </si>
  <si>
    <t>Client has specified this space needing to be 1500mm wide - not sure on the price change as it is 600mm pricing at the moment</t>
  </si>
  <si>
    <t>Extend Bench and Cupboards by 300mm</t>
  </si>
  <si>
    <t>20mm stone Benchtop</t>
  </si>
  <si>
    <t>1.5M</t>
  </si>
  <si>
    <t xml:space="preserve">Refer to #225-25V SOFRA&amp;O'HARA - my clients would like three draws below - Sofra only had two </t>
  </si>
  <si>
    <t>Not sure on price when they're a different size to the normal pull out clothes basket</t>
  </si>
  <si>
    <t>PLEASE ADD THE WC TO THIS 103</t>
  </si>
  <si>
    <t>Half height wall shelf (tiled) behind WC</t>
  </si>
  <si>
    <t>WC</t>
  </si>
  <si>
    <t xml:space="preserve">Floor to ceiling tiles </t>
  </si>
  <si>
    <t>I dunno if it's the same price as the shower wall?</t>
  </si>
  <si>
    <t>I dunno if it’s the same price as the shower wall??</t>
  </si>
  <si>
    <t>Is this a credit or just a note only?</t>
  </si>
  <si>
    <t xml:space="preserve">8 doors + 3 cavity sliders </t>
  </si>
  <si>
    <t>Façade - Based on the Parkdale Display</t>
  </si>
  <si>
    <t>Based on Parkdale Display</t>
  </si>
  <si>
    <t>Cavity slider in lieu of swing door to Hallway</t>
  </si>
  <si>
    <t>Allowed as HAM1</t>
  </si>
  <si>
    <t>Floor to ceiling tiles to Ensuite (incl. WC)</t>
  </si>
  <si>
    <t xml:space="preserve">Delete external swing door </t>
  </si>
  <si>
    <t>2340mm x 920mm Swing door</t>
  </si>
  <si>
    <t>2 x 750mm wide Wall Oven Towers (1 x Oven &amp; 1 x Integrated Microwave) in lieu of Appliance Cupboard</t>
  </si>
  <si>
    <t>Price rise applied - 29/09/2025</t>
  </si>
  <si>
    <t>Date: 29/09/2025</t>
  </si>
  <si>
    <t>Client/s Address: 26 Lynch Drive Echuca Victoria 3564</t>
  </si>
  <si>
    <t>Client/s Phone Number: 0400 565 568 (T) | 0418 597 163 (G)</t>
  </si>
  <si>
    <t xml:space="preserve">DOORS &amp; HANDLES </t>
  </si>
  <si>
    <t xml:space="preserve">Upgrade internal doors </t>
  </si>
  <si>
    <t xml:space="preserve">Upgrade bricks </t>
  </si>
  <si>
    <t>Delete: 3 x shirt stackers (Bedrooms)</t>
  </si>
  <si>
    <t>Delete: Build out wall for TV to Retreat with TV Recess</t>
  </si>
  <si>
    <t xml:space="preserve">Upgrade stone </t>
  </si>
  <si>
    <t xml:space="preserve">Upgrade sink mixer </t>
  </si>
  <si>
    <t xml:space="preserve">Add boiling filtered tap </t>
  </si>
  <si>
    <t>Delete: Zip Hydro Tap (boiling hot water) black - Allowance Only</t>
  </si>
  <si>
    <t xml:space="preserve">900mm Bank of drawers to island bench </t>
  </si>
  <si>
    <t xml:space="preserve">Capped water point to fridge </t>
  </si>
  <si>
    <t>Delete: 40mm stone benchtop to Butler's Pantry</t>
  </si>
  <si>
    <t>3 x robe hooks in lieu of double towel rail</t>
  </si>
  <si>
    <t xml:space="preserve">Upgrade toilet suite </t>
  </si>
  <si>
    <t xml:space="preserve">Upgrade to 2 x LED mirror cabinets </t>
  </si>
  <si>
    <t xml:space="preserve">Upgrade to 900mm long shower grate in black </t>
  </si>
  <si>
    <t xml:space="preserve">Drawers to vanity in lieu of cupboards </t>
  </si>
  <si>
    <t xml:space="preserve">Upgrade basin </t>
  </si>
  <si>
    <t xml:space="preserve">Upgrade to LED mirror cabinet </t>
  </si>
  <si>
    <t>Delete: 20mm stone vanity benchtop</t>
  </si>
  <si>
    <t xml:space="preserve">4 x Robe hooks in lieu of double towel rail </t>
  </si>
  <si>
    <t xml:space="preserve">Upgrade to LED mirror </t>
  </si>
  <si>
    <t xml:space="preserve">Delete: 3 x Pendant lights above island bench </t>
  </si>
  <si>
    <t xml:space="preserve">Upgrade to iconic range </t>
  </si>
  <si>
    <t xml:space="preserve">Add fans with lights to all bedrooms </t>
  </si>
  <si>
    <t xml:space="preserve">5 x Data points </t>
  </si>
  <si>
    <t xml:space="preserve">4 x TV points </t>
  </si>
  <si>
    <t xml:space="preserve">HEATING &amp; COOLING </t>
  </si>
  <si>
    <t xml:space="preserve">TILES </t>
  </si>
  <si>
    <t xml:space="preserve">Upgrade to Pompeii Travertine Cenere Microtec 600x600 tile </t>
  </si>
  <si>
    <t xml:space="preserve">Upgrade carpet </t>
  </si>
  <si>
    <t xml:space="preserve">Upgrade to exposed aggregate concrete </t>
  </si>
  <si>
    <t xml:space="preserve">Stone 20mm to 40mm (Kitchen) </t>
  </si>
  <si>
    <t xml:space="preserve">11,000 bricks </t>
  </si>
  <si>
    <t>Upgrade garage door handle</t>
  </si>
  <si>
    <t xml:space="preserve">2 x Banks of drawers </t>
  </si>
  <si>
    <t xml:space="preserve">18 x Internal double power points </t>
  </si>
  <si>
    <t xml:space="preserve">3 x External double power points </t>
  </si>
  <si>
    <t xml:space="preserve">2 x DGPO behind mirror </t>
  </si>
  <si>
    <t xml:space="preserve">PRE CONTRACT PRICING </t>
  </si>
  <si>
    <t>$180 - $84.80 (standard tap) +36%</t>
  </si>
  <si>
    <t>$733.03 - $269.18 +36%</t>
  </si>
  <si>
    <t xml:space="preserve">$1380 per mirror $180 to install LED mirror </t>
  </si>
  <si>
    <t>Delete: 2 x Frosted/OBS glass sliding doors to Study - Allowance Only</t>
  </si>
  <si>
    <t xml:space="preserve">$470 for mirror &amp; $180 for installation </t>
  </si>
  <si>
    <t>$484.80 - $115.30 +36%</t>
  </si>
  <si>
    <t>$884.64 - $269.10 + 36%</t>
  </si>
  <si>
    <t xml:space="preserve">Carpet Upgrade </t>
  </si>
  <si>
    <t xml:space="preserve">Bed 1 </t>
  </si>
  <si>
    <t xml:space="preserve">wir 1 </t>
  </si>
  <si>
    <t>foyer</t>
  </si>
  <si>
    <t>study</t>
  </si>
  <si>
    <t xml:space="preserve">bed 2 </t>
  </si>
  <si>
    <t xml:space="preserve">bed 3 </t>
  </si>
  <si>
    <t xml:space="preserve">bed 4 </t>
  </si>
  <si>
    <t>retreat</t>
  </si>
  <si>
    <t xml:space="preserve">111m2 including 10% wastage </t>
  </si>
  <si>
    <t>$801.01 - $350.38 + 36%</t>
  </si>
  <si>
    <t xml:space="preserve">Stone Quote </t>
  </si>
  <si>
    <t xml:space="preserve">Kitchen </t>
  </si>
  <si>
    <t xml:space="preserve">GV Stone Quote </t>
  </si>
  <si>
    <t xml:space="preserve">waterfall </t>
  </si>
  <si>
    <t xml:space="preserve">Pantry </t>
  </si>
  <si>
    <t xml:space="preserve">Powder room </t>
  </si>
  <si>
    <t xml:space="preserve">ens </t>
  </si>
  <si>
    <t xml:space="preserve">20mm stone splashback to kitchen wall bench </t>
  </si>
  <si>
    <t xml:space="preserve">Laundry </t>
  </si>
  <si>
    <t xml:space="preserve">Note only </t>
  </si>
  <si>
    <t xml:space="preserve">Delete: Allowance for additional 7 star energy rating and whole of home requirements (Not required) </t>
  </si>
  <si>
    <t xml:space="preserve">New tech cladding to outdoor living ceiling </t>
  </si>
  <si>
    <t>3kw Electric solar panel system</t>
  </si>
  <si>
    <t xml:space="preserve">2 x 2600mm long x 800mm deep overhead cupboards to Study </t>
  </si>
  <si>
    <t>Delete melamine shelving to WIL A &amp; C</t>
  </si>
  <si>
    <t xml:space="preserve">Double barn doors to retreat </t>
  </si>
  <si>
    <t xml:space="preserve">Single barn door to study </t>
  </si>
  <si>
    <t xml:space="preserve">Upgrade to bar handle &amp; fingerpull grip sliding door to outdoor living  </t>
  </si>
  <si>
    <t>Extend outdoor living door to 2340mm high, (reduce window height)</t>
  </si>
  <si>
    <t>20mm Stone benchtop</t>
  </si>
  <si>
    <t>900mm bench with cupboards to elevation C</t>
  </si>
  <si>
    <t xml:space="preserve">300mm Stone drop face in lieu of vanity &amp; upgrade stone </t>
  </si>
  <si>
    <t xml:space="preserve">1 x Robe hook in lieu of towel rail </t>
  </si>
  <si>
    <t xml:space="preserve">$50 per door </t>
  </si>
  <si>
    <t xml:space="preserve">sent Tradelink email waiting for new quote (client changed their mind) </t>
  </si>
  <si>
    <t xml:space="preserve">870 Aluminium swing door in lieu of 2115 sliding door </t>
  </si>
  <si>
    <t>3 DL with light points &amp; 3 without (light only)</t>
  </si>
  <si>
    <t>2 x 2600mm long x 800mm deep laminate desks to Study</t>
  </si>
  <si>
    <t xml:space="preserve">2 x clothes basket drawers </t>
  </si>
  <si>
    <t>(can only fit 2 baskets) - Maddy</t>
  </si>
  <si>
    <t>Court</t>
  </si>
  <si>
    <t>Sijo/Court</t>
  </si>
  <si>
    <t xml:space="preserve">2 x 2 drawers to study benchtop &amp; 1 filing cabinet </t>
  </si>
  <si>
    <t xml:space="preserve">2300mm high vinyl doors </t>
  </si>
  <si>
    <t>Intergrated rangehood in lieu of slideout - client to supply</t>
  </si>
  <si>
    <t xml:space="preserve">12 x doors </t>
  </si>
  <si>
    <t xml:space="preserve">Upgrade internal door handles (includes black hinges) </t>
  </si>
  <si>
    <t>x</t>
  </si>
  <si>
    <t>w/falls</t>
  </si>
  <si>
    <t>Washine machine and dryer towers with 3 x drawers below</t>
  </si>
  <si>
    <t>Upgrade basins</t>
  </si>
  <si>
    <t>Extra charge for shower not being enclosed</t>
  </si>
  <si>
    <t>Stone splashback in chosen stone (Michelangelo)</t>
  </si>
  <si>
    <t>Upgrade stone</t>
  </si>
  <si>
    <t>No Cost</t>
  </si>
  <si>
    <t>Freestanding bath as chosen</t>
  </si>
  <si>
    <t>Undermount sink as chosen</t>
  </si>
  <si>
    <t>Upgrade sink (topmount)</t>
  </si>
  <si>
    <t xml:space="preserve">55 x Downlights throughout </t>
  </si>
  <si>
    <r>
      <rPr>
        <b/>
        <sz val="10"/>
        <rFont val="Arial"/>
        <family val="2"/>
      </rPr>
      <t>H2-D</t>
    </r>
    <r>
      <rPr>
        <sz val="10"/>
        <rFont val="Arial"/>
        <family val="2"/>
      </rPr>
      <t xml:space="preserve"> Class waffle pod slab with deepend edge beams </t>
    </r>
  </si>
  <si>
    <t>Kase</t>
  </si>
  <si>
    <t>Compliance with Victorian Bushfire Regulations (BAL 12.5) as investigation into your block reveals it is NOT in a bushfire prone area</t>
  </si>
  <si>
    <t>3 x Solar lights (kitchen &amp; WIP)</t>
  </si>
  <si>
    <t xml:space="preserve">Tile reveal to bathroom window </t>
  </si>
  <si>
    <t>Gainsborough front entry door handle</t>
  </si>
  <si>
    <t>OUTDOOR</t>
  </si>
  <si>
    <t>Cabinetry to ODL….TBC</t>
  </si>
  <si>
    <t>Leuvers TBC</t>
  </si>
  <si>
    <t xml:space="preserve">Extend bathroom &amp; decrease Retreat by 500mm </t>
  </si>
  <si>
    <t>Upgrade to extra light mortar TBC</t>
  </si>
  <si>
    <t xml:space="preserve">Render to portico </t>
  </si>
  <si>
    <t>Delete: 2 x Sky lights in Kitchen - Allowance Only</t>
  </si>
  <si>
    <t xml:space="preserve">Client to confirm the set up still </t>
  </si>
  <si>
    <t>Client to confirm</t>
  </si>
  <si>
    <t xml:space="preserve">2 x upgraded Exhaust fan/light </t>
  </si>
  <si>
    <t xml:space="preserve">2700mm high ceilings to entry </t>
  </si>
  <si>
    <t>Raked ceiling to kitchen, family/dining &amp; outdoor living includes highlight window &amp; square set cornice to family, dining &amp; kitchen</t>
  </si>
  <si>
    <t xml:space="preserve">Newtech cladding to façade </t>
  </si>
  <si>
    <t xml:space="preserve">Newtech cladding to portico ceiling  </t>
  </si>
  <si>
    <t xml:space="preserve">Delete: Melamine (white) end panels to WIR's for future cabinetry by clients </t>
  </si>
  <si>
    <t xml:space="preserve">Not needed. There are shelves now </t>
  </si>
  <si>
    <r>
      <t>Delete: Upgrade to 3 phase power with (</t>
    </r>
    <r>
      <rPr>
        <b/>
        <sz val="10"/>
        <color rgb="FF0000FF"/>
        <rFont val="Arial"/>
        <family val="2"/>
      </rPr>
      <t>27m</t>
    </r>
    <r>
      <rPr>
        <sz val="10"/>
        <color rgb="FF0000FF"/>
        <rFont val="Arial"/>
        <family val="2"/>
      </rPr>
      <t xml:space="preserve"> of additional Run)</t>
    </r>
  </si>
  <si>
    <t>22m2 - Nikita</t>
  </si>
  <si>
    <t xml:space="preserve">includes extension of house </t>
  </si>
  <si>
    <t xml:space="preserve">Bulkhead to Retreat &amp; Family </t>
  </si>
  <si>
    <t>This is now to be 1200mm high brick walls (was $9000 for full walls)</t>
  </si>
  <si>
    <t>2 x 1200mm high Brick walls to ends of ODL</t>
  </si>
  <si>
    <t xml:space="preserve">need to get this off Trevor @ Buildpro once they have picked render and newtech colours </t>
  </si>
  <si>
    <t xml:space="preserve">Lowline TV cabinet with push to open drawers to Family Room </t>
  </si>
  <si>
    <t xml:space="preserve">Client to supply warming drawer below MW. Builder to install </t>
  </si>
  <si>
    <t xml:space="preserve">Scott said to make sure these go on the outside wall </t>
  </si>
  <si>
    <t xml:space="preserve">Hot &amp; Cold water, gas and drainage points to ODL </t>
  </si>
  <si>
    <t xml:space="preserve">check with Sijo don’t need to add anything else </t>
  </si>
  <si>
    <t xml:space="preserve">Upgrade front entry door with 2 x sidelights and highlight window above </t>
  </si>
  <si>
    <t>inc. extra bathroom light</t>
  </si>
  <si>
    <t xml:space="preserve">Delete verandah to back </t>
  </si>
  <si>
    <t xml:space="preserve">includes house extension &amp; eaves added when vernadah was deleted </t>
  </si>
  <si>
    <t>see photos</t>
  </si>
  <si>
    <t>Allowed through Premium?? Need to get quoted allow for dead walls in rooms</t>
  </si>
  <si>
    <t>Delete: Upgraded shevling to WIR's, WIL and Butler's Pantry - Allowance Only</t>
  </si>
  <si>
    <t xml:space="preserve">Upgrade laminate shelving with fascia to Pantry and WIL </t>
  </si>
  <si>
    <t xml:space="preserve">Property certificate states no </t>
  </si>
  <si>
    <r>
      <t xml:space="preserve">Upgrade to 1 x 18kw &amp; 1 x 15kw Actron aires </t>
    </r>
    <r>
      <rPr>
        <b/>
        <sz val="10"/>
        <color rgb="FF0000FF"/>
        <rFont val="Arial"/>
        <family val="2"/>
      </rPr>
      <t>single phase</t>
    </r>
    <r>
      <rPr>
        <sz val="10"/>
        <color rgb="FF0000FF"/>
        <rFont val="Arial"/>
        <family val="2"/>
      </rPr>
      <t xml:space="preserve"> reverse cycle systems with 2 x neo controllers</t>
    </r>
  </si>
  <si>
    <t>$8565 $11340 NEO-$1390</t>
  </si>
  <si>
    <t>5 x banks of 4 of drawers with 2 x adjustable shelves to all bedrooms (white melamine)</t>
  </si>
  <si>
    <t xml:space="preserve">$825 tiles </t>
  </si>
  <si>
    <t>8m - $4440</t>
  </si>
  <si>
    <t xml:space="preserve">Roof </t>
  </si>
  <si>
    <t>ODL</t>
  </si>
  <si>
    <t>Add 1000mm  up through centre</t>
  </si>
  <si>
    <t>ODL concrete</t>
  </si>
  <si>
    <t xml:space="preserve">$155 tiles </t>
  </si>
  <si>
    <t xml:space="preserve">1.5m - $835 roof </t>
  </si>
  <si>
    <t xml:space="preserve">extra eaves already included in eave price </t>
  </si>
  <si>
    <t xml:space="preserve">Porch </t>
  </si>
  <si>
    <t>Porch concrete</t>
  </si>
  <si>
    <t>Add 1000mm through house (from porch to ODL)</t>
  </si>
  <si>
    <t xml:space="preserve">1200mm wide hallway in lieu of 1100mm wide hallway </t>
  </si>
  <si>
    <t>Upgrade to black tapware and hardware to bathroom, ensuite &amp; powder room</t>
  </si>
  <si>
    <t>4 x Wall mounted feature lights to the front façade with motion sensor (was 3)</t>
  </si>
  <si>
    <t>40mm stone benchtop in lieu of  20mm stone benchtop</t>
  </si>
  <si>
    <t>40mm stone benchtop in lieu of 20mm stone benchtop</t>
  </si>
  <si>
    <t xml:space="preserve">2 x Instantaneous gas HWS (both to be recessed into brickwork) in lieu of 1 x electric heat pump </t>
  </si>
  <si>
    <t xml:space="preserve">$1000 for 2 x recessed </t>
  </si>
  <si>
    <t xml:space="preserve">Exhaust fan </t>
  </si>
  <si>
    <t>confirm with client if regular or same as other upgraded ones KH</t>
  </si>
  <si>
    <t>Waiting Sijo</t>
  </si>
  <si>
    <t xml:space="preserve">waiting for Sijo </t>
  </si>
  <si>
    <t>1818 Window to bathroom in lieu of 1215</t>
  </si>
  <si>
    <t>waiting Sijo</t>
  </si>
  <si>
    <t>pic saved under "specs'</t>
  </si>
  <si>
    <t>Check my handover notes. Think this should be deleted?</t>
  </si>
  <si>
    <t xml:space="preserve">waiting electrician install quote </t>
  </si>
  <si>
    <t xml:space="preserve">Add 100mm through hallway only </t>
  </si>
  <si>
    <t xml:space="preserve">Entry </t>
  </si>
  <si>
    <t>3m -$1665</t>
  </si>
  <si>
    <t>tiles</t>
  </si>
  <si>
    <t>roof</t>
  </si>
  <si>
    <t xml:space="preserve">add $435 for 1m up middle add $45 hallway </t>
  </si>
  <si>
    <t>Vinyl flooring in lieu of tiles (excl. wet areas) (includes extension)</t>
  </si>
  <si>
    <t>Sijo</t>
  </si>
  <si>
    <t>Remove Rear Verandah</t>
  </si>
  <si>
    <t>Verandah area</t>
  </si>
  <si>
    <t>total area</t>
  </si>
  <si>
    <t xml:space="preserve">by </t>
  </si>
  <si>
    <t xml:space="preserve">Strip footing </t>
  </si>
  <si>
    <t xml:space="preserve">Column </t>
  </si>
  <si>
    <t>Scott</t>
  </si>
  <si>
    <t>Extra hip &amp; Valley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</si>
</sst>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6" formatCode="&quot;$&quot;#,##0;[Red]\-&quot;$&quot;#,##0"/>
    <numFmt numFmtId="8" formatCode="&quot;$&quot;#,##0.00;[Red]\-&quot;$&quot;#,##0.00"/>
    <numFmt numFmtId="44" formatCode="_-&quot;$&quot;* #,##0.00_-;\-&quot;$&quot;* #,##0.00_-;_-&quot;$&quot;* &quot;-&quot;??_-;_-@_-"/>
    <numFmt numFmtId="164" formatCode="&quot;$&quot;#,##0"/>
    <numFmt numFmtId="165" formatCode="_-&quot;$&quot;* #,##0_-;\-&quot;$&quot;* #,##0_-;_-&quot;$&quot;* &quot;-&quot;??_-;_-@_-"/>
    <numFmt numFmtId="166" formatCode="&quot;$&quot;#,##0.00"/>
    <numFmt numFmtId="167" formatCode="&quot;$&quot;#,##0.0"/>
    <numFmt numFmtId="168" formatCode="_(&quot;$&quot;* #,##0.00_);_(&quot;$&quot;* \(#,##0.00\);_(&quot;$&quot;* &quot;-&quot;??_);_(@_)"/>
    <numFmt numFmtId="169" formatCode="0.0%"/>
    <numFmt numFmtId="170" formatCode="&quot;$&quot;#,##0_);[Red]\(&quot;$&quot;#,##0\)"/>
    <numFmt numFmtId="171" formatCode="&quot;$&quot;#,##0.00_);[Red]\(&quot;$&quot;#,##0.00\)"/>
  </numFmts>
  <fonts count="82">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b/>
      <sz val="10"/>
      <name val="Arial"/>
      <family val="2"/>
    </font>
    <font>
      <b/>
      <sz val="16"/>
      <color rgb="FFFF0000"/>
      <name val="Arial"/>
      <family val="2"/>
    </font>
    <font>
      <sz val="16"/>
      <name val="Arial"/>
      <family val="2"/>
    </font>
    <font>
      <b/>
      <sz val="16"/>
      <color indexed="62"/>
      <name val="Arial"/>
      <family val="2"/>
    </font>
    <font>
      <b/>
      <sz val="16"/>
      <name val="Arial"/>
      <family val="2"/>
    </font>
    <font>
      <b/>
      <sz val="10"/>
      <color rgb="FFFF0000"/>
      <name val="Arial"/>
      <family val="2"/>
    </font>
    <font>
      <b/>
      <sz val="8"/>
      <name val="Arial"/>
      <family val="2"/>
    </font>
    <font>
      <sz val="9"/>
      <name val="Arial"/>
      <family val="2"/>
    </font>
    <font>
      <sz val="11"/>
      <name val="Arial"/>
      <family val="2"/>
    </font>
    <font>
      <b/>
      <sz val="11"/>
      <name val="Arial"/>
      <family val="2"/>
    </font>
    <font>
      <sz val="8"/>
      <name val="Arial"/>
      <family val="2"/>
    </font>
    <font>
      <b/>
      <sz val="12"/>
      <color theme="3" tint="-0.249977111117893"/>
      <name val="Arial"/>
      <family val="2"/>
    </font>
    <font>
      <sz val="12"/>
      <name val="Arial"/>
      <family val="2"/>
    </font>
    <font>
      <b/>
      <sz val="12"/>
      <color rgb="FFFF0000"/>
      <name val="Arial"/>
      <family val="2"/>
    </font>
    <font>
      <b/>
      <sz val="16"/>
      <color indexed="57"/>
      <name val="Arial"/>
      <family val="2"/>
    </font>
    <font>
      <b/>
      <sz val="16"/>
      <color rgb="FFFF0000"/>
      <name val="Calibri"/>
      <family val="2"/>
      <scheme val="minor"/>
    </font>
    <font>
      <sz val="10"/>
      <color rgb="FFFF0000"/>
      <name val="Arial"/>
      <family val="2"/>
    </font>
    <font>
      <sz val="18"/>
      <color rgb="FF0000FF"/>
      <name val="Calibri"/>
      <family val="2"/>
      <scheme val="minor"/>
    </font>
    <font>
      <sz val="11"/>
      <color rgb="FF0000FF"/>
      <name val="Calibri"/>
      <family val="2"/>
      <scheme val="minor"/>
    </font>
    <font>
      <b/>
      <sz val="11"/>
      <color rgb="FF008080"/>
      <name val="Calibri"/>
      <family val="2"/>
      <scheme val="minor"/>
    </font>
    <font>
      <b/>
      <sz val="11"/>
      <color rgb="FFC00000"/>
      <name val="Calibri"/>
      <family val="2"/>
      <scheme val="minor"/>
    </font>
    <font>
      <b/>
      <sz val="14"/>
      <color rgb="FF0000FF"/>
      <name val="Calibri"/>
      <family val="2"/>
      <scheme val="minor"/>
    </font>
    <font>
      <b/>
      <u/>
      <sz val="10"/>
      <name val="Arial"/>
      <family val="2"/>
    </font>
    <font>
      <u/>
      <sz val="10"/>
      <name val="Arial"/>
      <family val="2"/>
    </font>
    <font>
      <b/>
      <sz val="12"/>
      <name val="Calibri"/>
      <family val="2"/>
    </font>
    <font>
      <sz val="8"/>
      <name val="Calibri"/>
      <family val="2"/>
    </font>
    <font>
      <sz val="10"/>
      <color indexed="16"/>
      <name val="Arial"/>
      <family val="2"/>
    </font>
    <font>
      <b/>
      <sz val="20"/>
      <name val="Arial"/>
      <family val="2"/>
    </font>
    <font>
      <u/>
      <sz val="10"/>
      <color indexed="12"/>
      <name val="Arial"/>
      <family val="2"/>
    </font>
    <font>
      <i/>
      <sz val="10"/>
      <name val="Arial"/>
      <family val="2"/>
    </font>
    <font>
      <b/>
      <sz val="12"/>
      <name val="Arial"/>
      <family val="2"/>
    </font>
    <font>
      <b/>
      <sz val="9"/>
      <name val="Arial"/>
      <family val="2"/>
    </font>
    <font>
      <b/>
      <sz val="10"/>
      <color indexed="10"/>
      <name val="Arial"/>
      <family val="2"/>
    </font>
    <font>
      <sz val="10"/>
      <color indexed="10"/>
      <name val="Arial"/>
      <family val="2"/>
    </font>
    <font>
      <b/>
      <u/>
      <sz val="10"/>
      <color indexed="10"/>
      <name val="Arial"/>
      <family val="2"/>
    </font>
    <font>
      <sz val="9"/>
      <color indexed="10"/>
      <name val="Arial"/>
      <family val="2"/>
    </font>
    <font>
      <sz val="11"/>
      <name val="Calibri"/>
      <family val="2"/>
    </font>
    <font>
      <i/>
      <sz val="11"/>
      <name val="Times New Roman"/>
      <family val="1"/>
    </font>
    <font>
      <b/>
      <u/>
      <sz val="12"/>
      <name val="Arial"/>
      <family val="2"/>
    </font>
    <font>
      <b/>
      <sz val="12"/>
      <color indexed="12"/>
      <name val="Arial"/>
      <family val="2"/>
    </font>
    <font>
      <b/>
      <u/>
      <sz val="12"/>
      <color indexed="12"/>
      <name val="Arial"/>
      <family val="2"/>
    </font>
    <font>
      <b/>
      <sz val="10"/>
      <color indexed="16"/>
      <name val="Arial"/>
      <family val="2"/>
    </font>
    <font>
      <b/>
      <sz val="10"/>
      <color indexed="12"/>
      <name val="Arial"/>
      <family val="2"/>
    </font>
    <font>
      <b/>
      <sz val="10"/>
      <color rgb="FF0000FF"/>
      <name val="Arial"/>
      <family val="2"/>
    </font>
    <font>
      <b/>
      <sz val="12"/>
      <color rgb="FFFF0000"/>
      <name val="Calibri"/>
      <family val="2"/>
      <scheme val="minor"/>
    </font>
    <font>
      <b/>
      <sz val="11"/>
      <color rgb="FF0000FF"/>
      <name val="Calibri"/>
      <family val="2"/>
      <scheme val="minor"/>
    </font>
    <font>
      <b/>
      <sz val="14"/>
      <color rgb="FF0000FF"/>
      <name val="Calibri"/>
      <family val="2"/>
    </font>
    <font>
      <b/>
      <sz val="11"/>
      <color rgb="FF0000FF"/>
      <name val="Calibri"/>
      <family val="2"/>
    </font>
    <font>
      <sz val="11"/>
      <color theme="1"/>
      <name val="Calibri"/>
      <family val="2"/>
    </font>
    <font>
      <b/>
      <sz val="11"/>
      <color theme="1"/>
      <name val="Calibri"/>
      <family val="2"/>
    </font>
    <font>
      <b/>
      <sz val="11"/>
      <name val="Calibri"/>
      <family val="2"/>
    </font>
    <font>
      <sz val="11"/>
      <color rgb="FF008080"/>
      <name val="Calibri"/>
      <family val="2"/>
      <scheme val="minor"/>
    </font>
    <font>
      <b/>
      <sz val="14"/>
      <color rgb="FFFF0000"/>
      <name val="Calibri"/>
      <family val="2"/>
      <scheme val="minor"/>
    </font>
    <font>
      <sz val="8"/>
      <name val="Calibri"/>
      <family val="2"/>
      <scheme val="minor"/>
    </font>
    <font>
      <sz val="20"/>
      <color rgb="FF0000FF"/>
      <name val="Calibri"/>
      <family val="2"/>
      <scheme val="minor"/>
    </font>
    <font>
      <sz val="12"/>
      <color rgb="FF000118"/>
      <name val="Nunito Sans"/>
    </font>
    <font>
      <sz val="10"/>
      <color theme="1"/>
      <name val="Var(--ff-mono)"/>
    </font>
    <font>
      <b/>
      <sz val="14"/>
      <color rgb="FFFF0000"/>
      <name val="Arial"/>
      <family val="2"/>
    </font>
    <font>
      <sz val="13"/>
      <color rgb="FFFF0000"/>
      <name val="Calibri"/>
      <family val="2"/>
      <scheme val="minor"/>
    </font>
    <font>
      <b/>
      <sz val="13"/>
      <color rgb="FFFF0000"/>
      <name val="Calibri"/>
      <family val="2"/>
      <scheme val="minor"/>
    </font>
    <font>
      <sz val="11"/>
      <name val="Calibri"/>
      <family val="2"/>
      <scheme val="minor"/>
    </font>
    <font>
      <sz val="11"/>
      <color rgb="FFFF0000"/>
      <name val="Calibri"/>
      <family val="2"/>
      <scheme val="minor"/>
    </font>
    <font>
      <b/>
      <sz val="10"/>
      <name val="Century Gothic"/>
      <family val="2"/>
    </font>
    <font>
      <sz val="10"/>
      <name val="Century Gothic"/>
      <family val="2"/>
    </font>
    <font>
      <sz val="10"/>
      <color theme="1"/>
      <name val="Century Gothic"/>
      <family val="2"/>
    </font>
    <font>
      <b/>
      <sz val="9"/>
      <name val="Century Gothic"/>
      <family val="2"/>
    </font>
    <font>
      <b/>
      <sz val="16"/>
      <color theme="1"/>
      <name val="Calibri"/>
      <family val="2"/>
      <scheme val="minor"/>
    </font>
    <font>
      <b/>
      <sz val="16"/>
      <color rgb="FFFF3300"/>
      <name val="Calibri"/>
      <family val="2"/>
      <scheme val="minor"/>
    </font>
    <font>
      <sz val="11"/>
      <color rgb="FFFF3300"/>
      <name val="Calibri"/>
      <family val="2"/>
      <scheme val="minor"/>
    </font>
    <font>
      <b/>
      <sz val="14"/>
      <color theme="1"/>
      <name val="Calibri"/>
      <family val="2"/>
      <scheme val="minor"/>
    </font>
    <font>
      <b/>
      <sz val="16"/>
      <color rgb="FF7030A0"/>
      <name val="Calibri"/>
      <family val="2"/>
      <scheme val="minor"/>
    </font>
    <font>
      <sz val="11"/>
      <color rgb="FF7030A0"/>
      <name val="Calibri"/>
      <family val="2"/>
      <scheme val="minor"/>
    </font>
    <font>
      <sz val="10"/>
      <color rgb="FF0000FF"/>
      <name val="Arial"/>
      <family val="2"/>
    </font>
    <font>
      <sz val="9"/>
      <color rgb="FF0000FF"/>
      <name val="Arial"/>
      <family val="2"/>
    </font>
    <font>
      <u/>
      <sz val="10"/>
      <color rgb="FF0000FF"/>
      <name val="Arial"/>
      <family val="2"/>
    </font>
    <font>
      <sz val="10"/>
      <color theme="1"/>
      <name val="Arial"/>
      <family val="2"/>
    </font>
    <font>
      <sz val="9"/>
      <color theme="1"/>
      <name val="Arial"/>
      <family val="2"/>
    </font>
    <font>
      <sz val="9"/>
      <color rgb="FF009900"/>
      <name val="Arial"/>
      <family val="2"/>
    </font>
  </fonts>
  <fills count="21">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FF"/>
        <bgColor indexed="64"/>
      </patternFill>
    </fill>
    <fill>
      <patternFill patternType="solid">
        <fgColor indexed="22"/>
        <bgColor indexed="64"/>
      </patternFill>
    </fill>
    <fill>
      <patternFill patternType="solid">
        <fgColor theme="0" tint="-0.249977111117893"/>
        <bgColor indexed="64"/>
      </patternFill>
    </fill>
    <fill>
      <patternFill patternType="solid">
        <fgColor indexed="43"/>
        <bgColor indexed="64"/>
      </patternFill>
    </fill>
    <fill>
      <patternFill patternType="solid">
        <fgColor indexed="52"/>
        <bgColor indexed="64"/>
      </patternFill>
    </fill>
    <fill>
      <patternFill patternType="solid">
        <fgColor theme="0"/>
        <bgColor indexed="64"/>
      </patternFill>
    </fill>
    <fill>
      <patternFill patternType="solid">
        <fgColor indexed="44"/>
        <bgColor indexed="64"/>
      </patternFill>
    </fill>
    <fill>
      <patternFill patternType="solid">
        <fgColor theme="4" tint="0.59999389629810485"/>
        <bgColor indexed="64"/>
      </patternFill>
    </fill>
    <fill>
      <patternFill patternType="solid">
        <fgColor rgb="FFFFFF99"/>
        <bgColor indexed="64"/>
      </patternFill>
    </fill>
    <fill>
      <patternFill patternType="solid">
        <fgColor rgb="FF92D050"/>
        <bgColor indexed="64"/>
      </patternFill>
    </fill>
    <fill>
      <patternFill patternType="solid">
        <fgColor indexed="9"/>
        <bgColor indexed="64"/>
      </patternFill>
    </fill>
    <fill>
      <patternFill patternType="solid">
        <fgColor indexed="13"/>
        <bgColor indexed="64"/>
      </patternFill>
    </fill>
    <fill>
      <patternFill patternType="solid">
        <fgColor rgb="FFFFFFFF"/>
        <bgColor indexed="64"/>
      </patternFill>
    </fill>
    <fill>
      <patternFill patternType="solid">
        <fgColor rgb="FFFFC000"/>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theme="9" tint="0.59999389629810485"/>
        <bgColor indexed="64"/>
      </patternFill>
    </fill>
  </fills>
  <borders count="6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bottom style="thin">
        <color indexed="64"/>
      </bottom>
      <diagonal/>
    </border>
    <border>
      <left style="thin">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right style="thin">
        <color indexed="64"/>
      </right>
      <top/>
      <bottom/>
      <diagonal/>
    </border>
    <border>
      <left/>
      <right/>
      <top style="medium">
        <color indexed="64"/>
      </top>
      <bottom style="medium">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style="thin">
        <color indexed="64"/>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bottom style="thin">
        <color indexed="64"/>
      </bottom>
      <diagonal/>
    </border>
    <border>
      <left style="thin">
        <color indexed="64"/>
      </left>
      <right/>
      <top/>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rgb="FFFF0000"/>
      </left>
      <right/>
      <top/>
      <bottom/>
      <diagonal/>
    </border>
    <border>
      <left style="medium">
        <color rgb="FFFF0000"/>
      </left>
      <right/>
      <top style="medium">
        <color rgb="FFFF0000"/>
      </top>
      <bottom style="medium">
        <color rgb="FFFF0000"/>
      </bottom>
      <diagonal/>
    </border>
    <border>
      <left/>
      <right/>
      <top style="medium">
        <color rgb="FFFF0000"/>
      </top>
      <bottom style="medium">
        <color rgb="FFFF0000"/>
      </bottom>
      <diagonal/>
    </border>
    <border>
      <left/>
      <right style="thick">
        <color rgb="FFFF0000"/>
      </right>
      <top style="medium">
        <color rgb="FFFF0000"/>
      </top>
      <bottom style="medium">
        <color rgb="FFFF0000"/>
      </bottom>
      <diagonal/>
    </border>
    <border>
      <left style="thick">
        <color rgb="FFFF0000"/>
      </left>
      <right/>
      <top style="medium">
        <color rgb="FFFF0000"/>
      </top>
      <bottom style="medium">
        <color rgb="FFFF0000"/>
      </bottom>
      <diagonal/>
    </border>
    <border>
      <left/>
      <right style="medium">
        <color rgb="FFFF0000"/>
      </right>
      <top style="medium">
        <color rgb="FFFF0000"/>
      </top>
      <bottom style="medium">
        <color rgb="FFFF0000"/>
      </bottom>
      <diagonal/>
    </border>
    <border>
      <left style="thin">
        <color rgb="FF000000"/>
      </left>
      <right style="thin">
        <color rgb="FF000000"/>
      </right>
      <top style="thin">
        <color rgb="FF000000"/>
      </top>
      <bottom style="thin">
        <color rgb="FF000000"/>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diagonal/>
    </border>
    <border>
      <left/>
      <right/>
      <top style="thin">
        <color indexed="64"/>
      </top>
      <bottom/>
      <diagonal/>
    </border>
    <border>
      <left/>
      <right/>
      <top/>
      <bottom style="medium">
        <color rgb="FFFF3300"/>
      </bottom>
      <diagonal/>
    </border>
    <border>
      <left/>
      <right style="medium">
        <color rgb="FFFF3300"/>
      </right>
      <top/>
      <bottom/>
      <diagonal/>
    </border>
    <border>
      <left/>
      <right style="medium">
        <color rgb="FFFF3300"/>
      </right>
      <top style="medium">
        <color rgb="FFFF3300"/>
      </top>
      <bottom/>
      <diagonal/>
    </border>
    <border>
      <left style="medium">
        <color rgb="FFFF3300"/>
      </left>
      <right/>
      <top/>
      <bottom style="medium">
        <color rgb="FFFF3300"/>
      </bottom>
      <diagonal/>
    </border>
    <border>
      <left/>
      <right style="medium">
        <color rgb="FFFF3300"/>
      </right>
      <top/>
      <bottom style="medium">
        <color rgb="FFFF3300"/>
      </bottom>
      <diagonal/>
    </border>
    <border>
      <left/>
      <right/>
      <top/>
      <bottom style="thin">
        <color rgb="FFFF3300"/>
      </bottom>
      <diagonal/>
    </border>
  </borders>
  <cellStyleXfs count="9">
    <xf numFmtId="0" fontId="0" fillId="0" borderId="0"/>
    <xf numFmtId="44" fontId="1" fillId="0" borderId="0" applyFont="0" applyFill="0" applyBorder="0" applyAlignment="0" applyProtection="0"/>
    <xf numFmtId="9" fontId="1" fillId="0" borderId="0" applyFont="0" applyFill="0" applyBorder="0" applyAlignment="0" applyProtection="0"/>
    <xf numFmtId="0" fontId="3" fillId="0" borderId="1"/>
    <xf numFmtId="44" fontId="3" fillId="0" borderId="0" applyFont="0" applyFill="0" applyBorder="0" applyAlignment="0" applyProtection="0"/>
    <xf numFmtId="0" fontId="3" fillId="0" borderId="0"/>
    <xf numFmtId="168" fontId="3" fillId="0" borderId="0" applyFont="0" applyFill="0" applyBorder="0" applyAlignment="0" applyProtection="0"/>
    <xf numFmtId="0" fontId="32" fillId="0" borderId="0" applyNumberFormat="0" applyFill="0" applyBorder="0" applyAlignment="0" applyProtection="0">
      <alignment vertical="top"/>
      <protection locked="0"/>
    </xf>
    <xf numFmtId="168" fontId="3" fillId="0" borderId="0" applyFont="0" applyFill="0" applyBorder="0" applyAlignment="0" applyProtection="0"/>
  </cellStyleXfs>
  <cellXfs count="801">
    <xf numFmtId="0" fontId="0" fillId="0" borderId="0" xfId="0"/>
    <xf numFmtId="0" fontId="4" fillId="0" borderId="0" xfId="3" applyFont="1" applyBorder="1"/>
    <xf numFmtId="164" fontId="3" fillId="0" borderId="0" xfId="3" applyNumberFormat="1" applyBorder="1"/>
    <xf numFmtId="0" fontId="3" fillId="0" borderId="0" xfId="3" applyBorder="1"/>
    <xf numFmtId="14" fontId="3" fillId="0" borderId="0" xfId="3" applyNumberFormat="1" applyBorder="1"/>
    <xf numFmtId="6" fontId="3" fillId="0" borderId="0" xfId="3" applyNumberFormat="1" applyBorder="1"/>
    <xf numFmtId="165" fontId="3" fillId="0" borderId="0" xfId="1" applyNumberFormat="1" applyFont="1" applyBorder="1"/>
    <xf numFmtId="15" fontId="3" fillId="0" borderId="0" xfId="3" applyNumberFormat="1" applyBorder="1"/>
    <xf numFmtId="1" fontId="3" fillId="0" borderId="0" xfId="3" applyNumberFormat="1" applyBorder="1"/>
    <xf numFmtId="165" fontId="3" fillId="0" borderId="0" xfId="1" applyNumberFormat="1" applyFont="1" applyFill="1" applyBorder="1"/>
    <xf numFmtId="165" fontId="3" fillId="2" borderId="0" xfId="1" applyNumberFormat="1" applyFont="1" applyFill="1" applyBorder="1"/>
    <xf numFmtId="165" fontId="3" fillId="0" borderId="0" xfId="3" applyNumberFormat="1" applyBorder="1"/>
    <xf numFmtId="0" fontId="0" fillId="3" borderId="0" xfId="0" applyFill="1" applyAlignment="1">
      <alignment wrapText="1"/>
    </xf>
    <xf numFmtId="0" fontId="0" fillId="0" borderId="0" xfId="0" applyAlignment="1">
      <alignment wrapText="1"/>
    </xf>
    <xf numFmtId="0" fontId="0" fillId="3" borderId="0" xfId="0" applyFill="1"/>
    <xf numFmtId="1" fontId="0" fillId="3" borderId="0" xfId="0" applyNumberFormat="1" applyFill="1"/>
    <xf numFmtId="0" fontId="0" fillId="4" borderId="4" xfId="0" applyFill="1" applyBorder="1"/>
    <xf numFmtId="0" fontId="0" fillId="4" borderId="0" xfId="0" applyFill="1"/>
    <xf numFmtId="0" fontId="2" fillId="0" borderId="0" xfId="0" applyFont="1"/>
    <xf numFmtId="165" fontId="2" fillId="0" borderId="4" xfId="1" applyNumberFormat="1" applyFont="1" applyBorder="1"/>
    <xf numFmtId="0" fontId="0" fillId="0" borderId="0" xfId="0" applyAlignment="1">
      <alignment horizontal="center" vertical="center"/>
    </xf>
    <xf numFmtId="0" fontId="0" fillId="0" borderId="0" xfId="0" applyAlignment="1">
      <alignment vertical="center"/>
    </xf>
    <xf numFmtId="166" fontId="0" fillId="0" borderId="6" xfId="0" applyNumberFormat="1" applyBorder="1" applyAlignment="1">
      <alignment vertical="center"/>
    </xf>
    <xf numFmtId="0" fontId="6" fillId="0" borderId="0" xfId="0" applyFont="1" applyAlignment="1">
      <alignment vertical="center"/>
    </xf>
    <xf numFmtId="14" fontId="8" fillId="0" borderId="0" xfId="0" applyNumberFormat="1" applyFont="1" applyAlignment="1">
      <alignment horizontal="left" vertical="center"/>
    </xf>
    <xf numFmtId="0" fontId="8" fillId="0" borderId="0" xfId="0" applyFont="1" applyAlignment="1">
      <alignment horizontal="left" vertical="center"/>
    </xf>
    <xf numFmtId="0" fontId="4" fillId="5" borderId="7" xfId="0" applyFont="1" applyFill="1" applyBorder="1" applyAlignment="1">
      <alignment horizontal="left" vertical="top"/>
    </xf>
    <xf numFmtId="166" fontId="9" fillId="6" borderId="7" xfId="0" applyNumberFormat="1" applyFont="1" applyFill="1" applyBorder="1" applyAlignment="1">
      <alignment horizontal="left" vertical="top" wrapText="1"/>
    </xf>
    <xf numFmtId="164" fontId="4" fillId="5" borderId="7" xfId="0" applyNumberFormat="1" applyFont="1" applyFill="1" applyBorder="1" applyAlignment="1">
      <alignment horizontal="left" vertical="top" wrapText="1"/>
    </xf>
    <xf numFmtId="166" fontId="4" fillId="5" borderId="7" xfId="0" applyNumberFormat="1" applyFont="1" applyFill="1" applyBorder="1" applyAlignment="1">
      <alignment horizontal="left" vertical="top" wrapText="1"/>
    </xf>
    <xf numFmtId="0" fontId="10" fillId="0" borderId="0" xfId="0" quotePrefix="1" applyFont="1" applyAlignment="1">
      <alignment horizontal="center" vertical="center"/>
    </xf>
    <xf numFmtId="0" fontId="10" fillId="0" borderId="0" xfId="0" applyFont="1" applyAlignment="1">
      <alignment horizontal="center" vertical="center"/>
    </xf>
    <xf numFmtId="0" fontId="11" fillId="0" borderId="0" xfId="0" applyFont="1" applyAlignment="1">
      <alignment vertical="center"/>
    </xf>
    <xf numFmtId="0" fontId="3" fillId="0" borderId="0" xfId="0" applyFont="1" applyAlignment="1">
      <alignment vertical="center" wrapText="1"/>
    </xf>
    <xf numFmtId="0" fontId="12" fillId="7" borderId="8" xfId="3" applyFont="1" applyFill="1" applyBorder="1" applyAlignment="1">
      <alignment vertical="center"/>
    </xf>
    <xf numFmtId="164" fontId="12" fillId="8" borderId="9" xfId="3" applyNumberFormat="1" applyFont="1" applyFill="1" applyBorder="1" applyAlignment="1">
      <alignment horizontal="center" vertical="center"/>
    </xf>
    <xf numFmtId="164" fontId="12" fillId="0" borderId="10" xfId="0" applyNumberFormat="1" applyFont="1" applyBorder="1" applyAlignment="1">
      <alignment horizontal="center" vertical="center"/>
    </xf>
    <xf numFmtId="164" fontId="12" fillId="9" borderId="11" xfId="0" applyNumberFormat="1" applyFont="1" applyFill="1" applyBorder="1" applyAlignment="1">
      <alignment horizontal="center" vertical="center"/>
    </xf>
    <xf numFmtId="164" fontId="13" fillId="10" borderId="12" xfId="4" applyNumberFormat="1" applyFont="1" applyFill="1" applyBorder="1" applyAlignment="1">
      <alignment horizontal="center" vertical="center"/>
    </xf>
    <xf numFmtId="164" fontId="0" fillId="0" borderId="0" xfId="0" applyNumberFormat="1" applyAlignment="1">
      <alignment vertical="center"/>
    </xf>
    <xf numFmtId="6" fontId="0" fillId="0" borderId="0" xfId="0" applyNumberFormat="1" applyAlignment="1">
      <alignment vertical="center"/>
    </xf>
    <xf numFmtId="1" fontId="0" fillId="0" borderId="0" xfId="0" applyNumberFormat="1" applyAlignment="1">
      <alignment vertical="center"/>
    </xf>
    <xf numFmtId="0" fontId="12" fillId="7" borderId="13" xfId="3" applyFont="1" applyFill="1" applyBorder="1" applyAlignment="1">
      <alignment vertical="center"/>
    </xf>
    <xf numFmtId="164" fontId="12" fillId="0" borderId="14" xfId="0" applyNumberFormat="1" applyFont="1" applyBorder="1" applyAlignment="1">
      <alignment horizontal="center" vertical="center"/>
    </xf>
    <xf numFmtId="164" fontId="14" fillId="0" borderId="0" xfId="0" applyNumberFormat="1" applyFont="1" applyAlignment="1">
      <alignment horizontal="center" vertical="center"/>
    </xf>
    <xf numFmtId="166" fontId="0" fillId="0" borderId="0" xfId="0" applyNumberFormat="1" applyAlignment="1">
      <alignment vertical="center"/>
    </xf>
    <xf numFmtId="0" fontId="15" fillId="0" borderId="15" xfId="0" applyFont="1" applyBorder="1" applyAlignment="1">
      <alignment vertical="center"/>
    </xf>
    <xf numFmtId="166" fontId="16" fillId="0" borderId="16" xfId="0" applyNumberFormat="1" applyFont="1" applyBorder="1" applyAlignment="1">
      <alignment horizontal="center" vertical="center"/>
    </xf>
    <xf numFmtId="164" fontId="17" fillId="0" borderId="15" xfId="0" applyNumberFormat="1" applyFont="1" applyBorder="1" applyAlignment="1">
      <alignment horizontal="left" vertical="center"/>
    </xf>
    <xf numFmtId="0" fontId="16" fillId="0" borderId="17" xfId="0" applyFont="1" applyBorder="1" applyAlignment="1">
      <alignment vertical="center"/>
    </xf>
    <xf numFmtId="166" fontId="0" fillId="0" borderId="16" xfId="0" applyNumberFormat="1" applyBorder="1" applyAlignment="1">
      <alignment vertical="center"/>
    </xf>
    <xf numFmtId="0" fontId="3" fillId="0" borderId="5" xfId="0" applyFont="1" applyBorder="1" applyAlignment="1">
      <alignment vertical="center"/>
    </xf>
    <xf numFmtId="0" fontId="0" fillId="0" borderId="6" xfId="0" applyBorder="1" applyAlignment="1">
      <alignment vertical="center"/>
    </xf>
    <xf numFmtId="166" fontId="3" fillId="0" borderId="5" xfId="0" applyNumberFormat="1" applyFont="1" applyBorder="1" applyAlignment="1">
      <alignment vertical="center"/>
    </xf>
    <xf numFmtId="0" fontId="0" fillId="0" borderId="18" xfId="0" applyBorder="1" applyAlignment="1">
      <alignment vertical="center"/>
    </xf>
    <xf numFmtId="0" fontId="0" fillId="0" borderId="19" xfId="0" applyBorder="1" applyAlignment="1">
      <alignment vertical="center"/>
    </xf>
    <xf numFmtId="166" fontId="3" fillId="0" borderId="18" xfId="0" applyNumberFormat="1" applyFont="1" applyBorder="1" applyAlignment="1">
      <alignment vertical="center"/>
    </xf>
    <xf numFmtId="0" fontId="0" fillId="0" borderId="20" xfId="0" applyBorder="1" applyAlignment="1">
      <alignment vertical="center"/>
    </xf>
    <xf numFmtId="166" fontId="0" fillId="0" borderId="19" xfId="0" applyNumberFormat="1" applyBorder="1" applyAlignment="1">
      <alignment vertical="center"/>
    </xf>
    <xf numFmtId="0" fontId="3" fillId="0" borderId="0" xfId="0" applyFont="1" applyAlignment="1">
      <alignment horizontal="left" vertical="center"/>
    </xf>
    <xf numFmtId="166" fontId="0" fillId="0" borderId="0" xfId="0" applyNumberFormat="1" applyAlignment="1">
      <alignment horizontal="center" vertical="center"/>
    </xf>
    <xf numFmtId="164" fontId="4" fillId="5" borderId="21" xfId="0" applyNumberFormat="1" applyFont="1" applyFill="1" applyBorder="1" applyAlignment="1">
      <alignment horizontal="left" vertical="top" wrapText="1"/>
    </xf>
    <xf numFmtId="164" fontId="12" fillId="9" borderId="22" xfId="0" applyNumberFormat="1" applyFont="1" applyFill="1" applyBorder="1" applyAlignment="1">
      <alignment horizontal="center" vertical="center"/>
    </xf>
    <xf numFmtId="0" fontId="3" fillId="0" borderId="0" xfId="3" applyBorder="1" applyAlignment="1">
      <alignment vertical="center"/>
    </xf>
    <xf numFmtId="164" fontId="3" fillId="0" borderId="0" xfId="3" applyNumberFormat="1" applyBorder="1" applyAlignment="1">
      <alignment horizontal="center" vertical="center"/>
    </xf>
    <xf numFmtId="164" fontId="3" fillId="0" borderId="23" xfId="3" applyNumberFormat="1" applyBorder="1" applyAlignment="1">
      <alignment horizontal="center" vertical="center"/>
    </xf>
    <xf numFmtId="166" fontId="3" fillId="0" borderId="0" xfId="3" applyNumberFormat="1" applyBorder="1" applyAlignment="1">
      <alignment vertical="center"/>
    </xf>
    <xf numFmtId="0" fontId="3" fillId="7" borderId="8" xfId="3" applyFill="1" applyBorder="1" applyAlignment="1">
      <alignment vertical="center"/>
    </xf>
    <xf numFmtId="0" fontId="3" fillId="7" borderId="13" xfId="3" applyFill="1" applyBorder="1" applyAlignment="1">
      <alignment vertical="center"/>
    </xf>
    <xf numFmtId="166" fontId="3" fillId="0" borderId="0" xfId="0" applyNumberFormat="1" applyFont="1" applyAlignment="1">
      <alignment vertical="center"/>
    </xf>
    <xf numFmtId="14" fontId="8" fillId="0" borderId="0" xfId="0" applyNumberFormat="1" applyFont="1" applyAlignment="1">
      <alignment vertical="center"/>
    </xf>
    <xf numFmtId="0" fontId="4" fillId="11" borderId="21" xfId="0" applyFont="1" applyFill="1" applyBorder="1" applyAlignment="1">
      <alignment horizontal="left" vertical="top"/>
    </xf>
    <xf numFmtId="166" fontId="9" fillId="11" borderId="7" xfId="0" applyNumberFormat="1" applyFont="1" applyFill="1" applyBorder="1" applyAlignment="1">
      <alignment horizontal="left" vertical="top" wrapText="1"/>
    </xf>
    <xf numFmtId="164" fontId="4" fillId="11" borderId="21" xfId="0" applyNumberFormat="1" applyFont="1" applyFill="1" applyBorder="1" applyAlignment="1">
      <alignment horizontal="left" vertical="top" wrapText="1"/>
    </xf>
    <xf numFmtId="164" fontId="4" fillId="11" borderId="7" xfId="0" applyNumberFormat="1" applyFont="1" applyFill="1" applyBorder="1" applyAlignment="1">
      <alignment horizontal="left" vertical="top" wrapText="1"/>
    </xf>
    <xf numFmtId="164" fontId="4" fillId="11" borderId="24" xfId="0" applyNumberFormat="1" applyFont="1" applyFill="1" applyBorder="1" applyAlignment="1">
      <alignment horizontal="left" vertical="top" wrapText="1"/>
    </xf>
    <xf numFmtId="166" fontId="4" fillId="11" borderId="7" xfId="0" applyNumberFormat="1" applyFont="1" applyFill="1" applyBorder="1" applyAlignment="1">
      <alignment horizontal="left" vertical="top" wrapText="1"/>
    </xf>
    <xf numFmtId="0" fontId="12" fillId="7" borderId="8" xfId="0" applyFont="1" applyFill="1" applyBorder="1" applyAlignment="1">
      <alignment vertical="center"/>
    </xf>
    <xf numFmtId="164" fontId="14" fillId="8" borderId="11" xfId="0" applyNumberFormat="1" applyFont="1" applyFill="1" applyBorder="1" applyAlignment="1">
      <alignment horizontal="center" vertical="center"/>
    </xf>
    <xf numFmtId="164" fontId="14" fillId="0" borderId="25" xfId="0" applyNumberFormat="1" applyFont="1" applyBorder="1" applyAlignment="1">
      <alignment horizontal="center" vertical="center"/>
    </xf>
    <xf numFmtId="164" fontId="14" fillId="9" borderId="11" xfId="0" applyNumberFormat="1" applyFont="1" applyFill="1" applyBorder="1" applyAlignment="1">
      <alignment horizontal="center" vertical="center"/>
    </xf>
    <xf numFmtId="164" fontId="14" fillId="9" borderId="8" xfId="0" applyNumberFormat="1" applyFont="1" applyFill="1" applyBorder="1" applyAlignment="1">
      <alignment horizontal="center" vertical="center"/>
    </xf>
    <xf numFmtId="164" fontId="13" fillId="10" borderId="26" xfId="4" applyNumberFormat="1" applyFont="1" applyFill="1" applyBorder="1" applyAlignment="1">
      <alignment horizontal="center" vertical="center"/>
    </xf>
    <xf numFmtId="164" fontId="3" fillId="0" borderId="0" xfId="0" applyNumberFormat="1" applyFont="1" applyAlignment="1">
      <alignment vertical="center"/>
    </xf>
    <xf numFmtId="167" fontId="0" fillId="0" borderId="0" xfId="0" applyNumberFormat="1" applyAlignment="1">
      <alignment vertical="center"/>
    </xf>
    <xf numFmtId="0" fontId="12" fillId="7" borderId="13" xfId="0" applyFont="1" applyFill="1" applyBorder="1" applyAlignment="1">
      <alignment vertical="center"/>
    </xf>
    <xf numFmtId="164" fontId="14" fillId="9" borderId="22" xfId="0" applyNumberFormat="1" applyFont="1" applyFill="1" applyBorder="1" applyAlignment="1">
      <alignment horizontal="center" vertical="center"/>
    </xf>
    <xf numFmtId="164" fontId="14" fillId="9" borderId="13" xfId="0" applyNumberFormat="1" applyFont="1" applyFill="1" applyBorder="1" applyAlignment="1">
      <alignment horizontal="center" vertical="center"/>
    </xf>
    <xf numFmtId="164" fontId="13" fillId="10" borderId="27" xfId="4" applyNumberFormat="1" applyFont="1" applyFill="1" applyBorder="1" applyAlignment="1">
      <alignment horizontal="center" vertical="center"/>
    </xf>
    <xf numFmtId="164" fontId="13" fillId="10" borderId="22" xfId="4" applyNumberFormat="1" applyFont="1" applyFill="1" applyBorder="1" applyAlignment="1">
      <alignment horizontal="center" vertical="center"/>
    </xf>
    <xf numFmtId="0" fontId="0" fillId="0" borderId="5" xfId="0" applyBorder="1" applyAlignment="1">
      <alignment vertical="center"/>
    </xf>
    <xf numFmtId="0" fontId="12" fillId="7" borderId="28" xfId="0" applyFont="1" applyFill="1" applyBorder="1" applyAlignment="1">
      <alignment vertical="center"/>
    </xf>
    <xf numFmtId="164" fontId="14" fillId="9" borderId="28" xfId="0" applyNumberFormat="1" applyFont="1" applyFill="1" applyBorder="1" applyAlignment="1">
      <alignment horizontal="center" vertical="center"/>
    </xf>
    <xf numFmtId="164" fontId="14" fillId="9" borderId="29" xfId="0" applyNumberFormat="1" applyFont="1" applyFill="1" applyBorder="1" applyAlignment="1">
      <alignment horizontal="center" vertical="center"/>
    </xf>
    <xf numFmtId="164" fontId="13" fillId="10" borderId="28" xfId="4" applyNumberFormat="1" applyFont="1" applyFill="1" applyBorder="1" applyAlignment="1">
      <alignment horizontal="center" vertical="center"/>
    </xf>
    <xf numFmtId="0" fontId="3" fillId="0" borderId="0" xfId="0" applyFont="1" applyAlignment="1">
      <alignment vertical="center"/>
    </xf>
    <xf numFmtId="164" fontId="14" fillId="0" borderId="17" xfId="0" applyNumberFormat="1" applyFont="1" applyBorder="1" applyAlignment="1">
      <alignment horizontal="center" vertical="center"/>
    </xf>
    <xf numFmtId="166" fontId="0" fillId="0" borderId="17" xfId="0" applyNumberFormat="1" applyBorder="1" applyAlignment="1">
      <alignment vertical="center"/>
    </xf>
    <xf numFmtId="0" fontId="20" fillId="0" borderId="0" xfId="0" applyFont="1" applyAlignment="1">
      <alignment vertical="center"/>
    </xf>
    <xf numFmtId="0" fontId="21" fillId="0" borderId="0" xfId="0" applyFont="1"/>
    <xf numFmtId="165" fontId="0" fillId="0" borderId="0" xfId="1" applyNumberFormat="1" applyFont="1"/>
    <xf numFmtId="0" fontId="22" fillId="0" borderId="0" xfId="0" applyFont="1"/>
    <xf numFmtId="165" fontId="0" fillId="12" borderId="0" xfId="1" applyNumberFormat="1" applyFont="1" applyFill="1" applyAlignment="1"/>
    <xf numFmtId="165" fontId="0" fillId="12" borderId="0" xfId="1" applyNumberFormat="1" applyFont="1" applyFill="1"/>
    <xf numFmtId="165" fontId="22" fillId="0" borderId="0" xfId="1" applyNumberFormat="1" applyFont="1"/>
    <xf numFmtId="0" fontId="23" fillId="0" borderId="0" xfId="0" applyFont="1"/>
    <xf numFmtId="0" fontId="24" fillId="0" borderId="0" xfId="0" applyFont="1"/>
    <xf numFmtId="0" fontId="25" fillId="0" borderId="0" xfId="0" applyFont="1"/>
    <xf numFmtId="165" fontId="0" fillId="0" borderId="0" xfId="1" applyNumberFormat="1" applyFont="1" applyAlignment="1">
      <alignment horizontal="right"/>
    </xf>
    <xf numFmtId="0" fontId="26" fillId="0" borderId="0" xfId="5" applyFont="1"/>
    <xf numFmtId="0" fontId="3" fillId="0" borderId="0" xfId="5"/>
    <xf numFmtId="168" fontId="0" fillId="0" borderId="0" xfId="6" applyFont="1"/>
    <xf numFmtId="0" fontId="4" fillId="0" borderId="0" xfId="5" applyFont="1"/>
    <xf numFmtId="168" fontId="4" fillId="0" borderId="0" xfId="6" applyFont="1"/>
    <xf numFmtId="0" fontId="4" fillId="0" borderId="0" xfId="5" applyFont="1" applyAlignment="1">
      <alignment horizontal="center"/>
    </xf>
    <xf numFmtId="168" fontId="4" fillId="0" borderId="0" xfId="6" applyFont="1" applyAlignment="1">
      <alignment horizontal="center"/>
    </xf>
    <xf numFmtId="0" fontId="27" fillId="0" borderId="0" xfId="5" applyFont="1"/>
    <xf numFmtId="168" fontId="3" fillId="0" borderId="0" xfId="6" applyFont="1"/>
    <xf numFmtId="0" fontId="4" fillId="0" borderId="15" xfId="5" applyFont="1" applyBorder="1"/>
    <xf numFmtId="0" fontId="3" fillId="0" borderId="17" xfId="5" applyBorder="1"/>
    <xf numFmtId="168" fontId="0" fillId="0" borderId="17" xfId="6" applyFont="1" applyBorder="1"/>
    <xf numFmtId="168" fontId="0" fillId="0" borderId="16" xfId="6" applyFont="1" applyBorder="1"/>
    <xf numFmtId="0" fontId="3" fillId="0" borderId="5" xfId="5" applyBorder="1"/>
    <xf numFmtId="168" fontId="0" fillId="0" borderId="0" xfId="6" applyFont="1" applyBorder="1"/>
    <xf numFmtId="168" fontId="0" fillId="0" borderId="6" xfId="6" applyFont="1" applyBorder="1"/>
    <xf numFmtId="168" fontId="4" fillId="0" borderId="0" xfId="6" applyFont="1" applyBorder="1"/>
    <xf numFmtId="168" fontId="4" fillId="0" borderId="6" xfId="6" applyFont="1" applyBorder="1"/>
    <xf numFmtId="0" fontId="3" fillId="0" borderId="18" xfId="5" applyBorder="1"/>
    <xf numFmtId="0" fontId="3" fillId="0" borderId="20" xfId="5" applyBorder="1"/>
    <xf numFmtId="168" fontId="0" fillId="0" borderId="20" xfId="6" applyFont="1" applyBorder="1"/>
    <xf numFmtId="168" fontId="4" fillId="13" borderId="20" xfId="6" applyFont="1" applyFill="1" applyBorder="1"/>
    <xf numFmtId="168" fontId="4" fillId="13" borderId="19" xfId="5" applyNumberFormat="1" applyFont="1" applyFill="1" applyBorder="1"/>
    <xf numFmtId="2" fontId="3" fillId="0" borderId="0" xfId="5" applyNumberFormat="1"/>
    <xf numFmtId="0" fontId="3" fillId="0" borderId="0" xfId="5" applyAlignment="1">
      <alignment vertical="center"/>
    </xf>
    <xf numFmtId="0" fontId="3" fillId="0" borderId="24" xfId="5" applyBorder="1"/>
    <xf numFmtId="6" fontId="0" fillId="0" borderId="0" xfId="0" applyNumberFormat="1" applyAlignment="1">
      <alignment horizontal="center" vertical="center"/>
    </xf>
    <xf numFmtId="6" fontId="0" fillId="0" borderId="15" xfId="0" applyNumberFormat="1" applyBorder="1" applyAlignment="1">
      <alignment vertical="center"/>
    </xf>
    <xf numFmtId="6" fontId="0" fillId="0" borderId="17" xfId="0" applyNumberFormat="1" applyBorder="1" applyAlignment="1">
      <alignment vertical="center"/>
    </xf>
    <xf numFmtId="6" fontId="0" fillId="0" borderId="17" xfId="0" applyNumberFormat="1" applyBorder="1" applyAlignment="1">
      <alignment horizontal="center" vertical="center"/>
    </xf>
    <xf numFmtId="6" fontId="0" fillId="0" borderId="16" xfId="0" applyNumberFormat="1" applyBorder="1" applyAlignment="1">
      <alignment vertical="center"/>
    </xf>
    <xf numFmtId="6" fontId="0" fillId="0" borderId="5" xfId="0" applyNumberFormat="1" applyBorder="1"/>
    <xf numFmtId="6" fontId="0" fillId="0" borderId="0" xfId="0" applyNumberFormat="1"/>
    <xf numFmtId="6" fontId="12" fillId="0" borderId="0" xfId="0" applyNumberFormat="1" applyFont="1" applyAlignment="1">
      <alignment horizontal="center"/>
    </xf>
    <xf numFmtId="6" fontId="0" fillId="0" borderId="6" xfId="0" applyNumberFormat="1" applyBorder="1"/>
    <xf numFmtId="6" fontId="28" fillId="0" borderId="5" xfId="0" applyNumberFormat="1" applyFont="1" applyBorder="1" applyAlignment="1">
      <alignment vertical="center"/>
    </xf>
    <xf numFmtId="6" fontId="29" fillId="0" borderId="0" xfId="0" applyNumberFormat="1" applyFont="1" applyAlignment="1">
      <alignment horizontal="center"/>
    </xf>
    <xf numFmtId="6" fontId="29" fillId="0" borderId="0" xfId="0" applyNumberFormat="1" applyFont="1" applyAlignment="1">
      <alignment vertical="center"/>
    </xf>
    <xf numFmtId="6" fontId="0" fillId="0" borderId="6" xfId="0" applyNumberFormat="1" applyBorder="1" applyAlignment="1">
      <alignment vertical="center"/>
    </xf>
    <xf numFmtId="6" fontId="29" fillId="0" borderId="5" xfId="0" applyNumberFormat="1" applyFont="1" applyBorder="1" applyAlignment="1">
      <alignment vertical="center"/>
    </xf>
    <xf numFmtId="6" fontId="29" fillId="0" borderId="0" xfId="0" applyNumberFormat="1" applyFont="1" applyAlignment="1">
      <alignment horizontal="right"/>
    </xf>
    <xf numFmtId="6" fontId="12" fillId="0" borderId="5" xfId="0" applyNumberFormat="1" applyFont="1" applyBorder="1"/>
    <xf numFmtId="6" fontId="0" fillId="0" borderId="0" xfId="0" applyNumberFormat="1" applyAlignment="1">
      <alignment horizontal="center"/>
    </xf>
    <xf numFmtId="6" fontId="12" fillId="0" borderId="5" xfId="0" applyNumberFormat="1" applyFont="1" applyBorder="1" applyAlignment="1">
      <alignment horizontal="right"/>
    </xf>
    <xf numFmtId="6" fontId="12" fillId="0" borderId="0" xfId="0" applyNumberFormat="1" applyFont="1"/>
    <xf numFmtId="6" fontId="13" fillId="0" borderId="5" xfId="0" applyNumberFormat="1" applyFont="1" applyBorder="1"/>
    <xf numFmtId="6" fontId="4" fillId="0" borderId="0" xfId="0" applyNumberFormat="1" applyFont="1" applyAlignment="1">
      <alignment horizontal="center" vertical="center"/>
    </xf>
    <xf numFmtId="6" fontId="12" fillId="0" borderId="5" xfId="0" applyNumberFormat="1" applyFont="1" applyBorder="1" applyAlignment="1">
      <alignment horizontal="left" indent="1"/>
    </xf>
    <xf numFmtId="6" fontId="12" fillId="0" borderId="18" xfId="0" applyNumberFormat="1" applyFont="1" applyBorder="1"/>
    <xf numFmtId="6" fontId="0" fillId="0" borderId="20" xfId="0" applyNumberFormat="1" applyBorder="1"/>
    <xf numFmtId="6" fontId="0" fillId="0" borderId="20" xfId="0" applyNumberFormat="1" applyBorder="1" applyAlignment="1">
      <alignment horizontal="center"/>
    </xf>
    <xf numFmtId="6" fontId="0" fillId="0" borderId="19" xfId="0" applyNumberFormat="1" applyBorder="1"/>
    <xf numFmtId="6" fontId="30" fillId="0" borderId="0" xfId="0" applyNumberFormat="1" applyFont="1" applyAlignment="1">
      <alignment vertical="center"/>
    </xf>
    <xf numFmtId="6" fontId="31" fillId="0" borderId="0" xfId="0" applyNumberFormat="1" applyFont="1" applyAlignment="1">
      <alignment horizontal="left" vertical="center"/>
    </xf>
    <xf numFmtId="6" fontId="31" fillId="0" borderId="0" xfId="0" applyNumberFormat="1" applyFont="1" applyAlignment="1">
      <alignment horizontal="center" vertical="center"/>
    </xf>
    <xf numFmtId="6" fontId="4" fillId="14" borderId="0" xfId="0" applyNumberFormat="1" applyFont="1" applyFill="1" applyAlignment="1">
      <alignment horizontal="center" vertical="center"/>
    </xf>
    <xf numFmtId="6" fontId="4" fillId="0" borderId="30" xfId="0" applyNumberFormat="1" applyFont="1" applyBorder="1" applyAlignment="1" applyProtection="1">
      <alignment vertical="center"/>
      <protection locked="0"/>
    </xf>
    <xf numFmtId="6" fontId="32" fillId="0" borderId="0" xfId="7" applyNumberFormat="1" applyAlignment="1" applyProtection="1">
      <alignment vertical="center"/>
    </xf>
    <xf numFmtId="6" fontId="4" fillId="0" borderId="0" xfId="0" applyNumberFormat="1" applyFont="1" applyAlignment="1">
      <alignment horizontal="left" vertical="center"/>
    </xf>
    <xf numFmtId="6" fontId="0" fillId="0" borderId="0" xfId="0" applyNumberFormat="1" applyAlignment="1">
      <alignment horizontal="left" vertical="center"/>
    </xf>
    <xf numFmtId="6" fontId="4" fillId="0" borderId="35" xfId="0" applyNumberFormat="1" applyFont="1" applyBorder="1" applyAlignment="1">
      <alignment vertical="center"/>
    </xf>
    <xf numFmtId="6" fontId="4" fillId="14" borderId="23" xfId="0" applyNumberFormat="1" applyFont="1" applyFill="1" applyBorder="1" applyAlignment="1">
      <alignment horizontal="center" vertical="center"/>
    </xf>
    <xf numFmtId="6" fontId="4" fillId="14" borderId="0" xfId="0" applyNumberFormat="1" applyFont="1" applyFill="1" applyAlignment="1">
      <alignment horizontal="center" vertical="center" wrapText="1"/>
    </xf>
    <xf numFmtId="6" fontId="0" fillId="0" borderId="0" xfId="0" applyNumberFormat="1" applyAlignment="1">
      <alignment vertical="center" wrapText="1"/>
    </xf>
    <xf numFmtId="6" fontId="26" fillId="0" borderId="13" xfId="0" applyNumberFormat="1" applyFont="1" applyBorder="1" applyAlignment="1" applyProtection="1">
      <alignment vertical="center"/>
      <protection locked="0"/>
    </xf>
    <xf numFmtId="6" fontId="3" fillId="0" borderId="3" xfId="0" applyNumberFormat="1" applyFont="1" applyBorder="1" applyAlignment="1">
      <alignment vertical="center"/>
    </xf>
    <xf numFmtId="6" fontId="3" fillId="0" borderId="0" xfId="0" applyNumberFormat="1" applyFont="1" applyAlignment="1">
      <alignment vertical="center"/>
    </xf>
    <xf numFmtId="6" fontId="3" fillId="0" borderId="3" xfId="0" applyNumberFormat="1" applyFont="1" applyBorder="1" applyAlignment="1">
      <alignment vertical="distributed"/>
    </xf>
    <xf numFmtId="6" fontId="0" fillId="0" borderId="3" xfId="0" applyNumberFormat="1" applyBorder="1" applyAlignment="1">
      <alignment vertical="distributed"/>
    </xf>
    <xf numFmtId="6" fontId="4" fillId="0" borderId="0" xfId="0" applyNumberFormat="1" applyFont="1" applyAlignment="1">
      <alignment vertical="center"/>
    </xf>
    <xf numFmtId="6" fontId="33" fillId="0" borderId="0" xfId="0" applyNumberFormat="1" applyFont="1" applyAlignment="1">
      <alignment vertical="center"/>
    </xf>
    <xf numFmtId="6" fontId="34" fillId="0" borderId="0" xfId="0" applyNumberFormat="1" applyFont="1" applyAlignment="1">
      <alignment horizontal="left" vertical="center"/>
    </xf>
    <xf numFmtId="6" fontId="0" fillId="0" borderId="39" xfId="0" applyNumberFormat="1" applyBorder="1" applyAlignment="1">
      <alignment horizontal="left" vertical="center"/>
    </xf>
    <xf numFmtId="6" fontId="0" fillId="0" borderId="1" xfId="0" applyNumberFormat="1" applyBorder="1" applyAlignment="1">
      <alignment vertical="center"/>
    </xf>
    <xf numFmtId="6" fontId="0" fillId="0" borderId="1" xfId="0" applyNumberFormat="1" applyBorder="1" applyAlignment="1">
      <alignment horizontal="center" vertical="center"/>
    </xf>
    <xf numFmtId="6" fontId="0" fillId="0" borderId="40" xfId="0" applyNumberFormat="1" applyBorder="1" applyAlignment="1">
      <alignment vertical="center"/>
    </xf>
    <xf numFmtId="6" fontId="35" fillId="0" borderId="0" xfId="0" applyNumberFormat="1" applyFont="1" applyAlignment="1">
      <alignment horizontal="center" vertical="center"/>
    </xf>
    <xf numFmtId="6" fontId="3" fillId="0" borderId="1" xfId="0" applyNumberFormat="1" applyFont="1" applyBorder="1" applyAlignment="1">
      <alignment vertical="center"/>
    </xf>
    <xf numFmtId="6" fontId="4" fillId="0" borderId="30" xfId="0" applyNumberFormat="1" applyFont="1" applyBorder="1" applyAlignment="1">
      <alignment vertical="center"/>
    </xf>
    <xf numFmtId="6" fontId="4" fillId="0" borderId="41" xfId="0" applyNumberFormat="1" applyFont="1" applyBorder="1" applyAlignment="1">
      <alignment horizontal="left" vertical="center"/>
    </xf>
    <xf numFmtId="6" fontId="36" fillId="15" borderId="40" xfId="0" applyNumberFormat="1" applyFont="1" applyFill="1" applyBorder="1" applyAlignment="1">
      <alignment vertical="center"/>
    </xf>
    <xf numFmtId="6" fontId="0" fillId="15" borderId="0" xfId="0" applyNumberFormat="1" applyFill="1" applyAlignment="1">
      <alignment vertical="center"/>
    </xf>
    <xf numFmtId="6" fontId="36" fillId="15" borderId="0" xfId="0" applyNumberFormat="1" applyFont="1" applyFill="1" applyAlignment="1">
      <alignment vertical="center"/>
    </xf>
    <xf numFmtId="6" fontId="37" fillId="15" borderId="0" xfId="0" applyNumberFormat="1" applyFont="1" applyFill="1" applyAlignment="1">
      <alignment vertical="center"/>
    </xf>
    <xf numFmtId="6" fontId="4" fillId="0" borderId="13" xfId="0" applyNumberFormat="1" applyFont="1" applyBorder="1" applyAlignment="1">
      <alignment vertical="center"/>
    </xf>
    <xf numFmtId="6" fontId="0" fillId="0" borderId="1" xfId="0" applyNumberFormat="1" applyBorder="1" applyAlignment="1">
      <alignment vertical="center" wrapText="1"/>
    </xf>
    <xf numFmtId="6" fontId="0" fillId="0" borderId="1" xfId="0" applyNumberFormat="1" applyBorder="1" applyAlignment="1">
      <alignment horizontal="center" vertical="center" wrapText="1"/>
    </xf>
    <xf numFmtId="6" fontId="0" fillId="15" borderId="0" xfId="0" applyNumberFormat="1" applyFill="1" applyAlignment="1">
      <alignment vertical="center" wrapText="1"/>
    </xf>
    <xf numFmtId="6" fontId="36" fillId="15" borderId="0" xfId="0" applyNumberFormat="1" applyFont="1" applyFill="1" applyAlignment="1">
      <alignment vertical="center" wrapText="1"/>
    </xf>
    <xf numFmtId="6" fontId="37" fillId="15" borderId="0" xfId="0" applyNumberFormat="1" applyFont="1" applyFill="1" applyAlignment="1">
      <alignment vertical="center" wrapText="1"/>
    </xf>
    <xf numFmtId="6" fontId="4" fillId="0" borderId="8" xfId="0" applyNumberFormat="1" applyFont="1" applyBorder="1" applyAlignment="1">
      <alignment horizontal="left" vertical="center"/>
    </xf>
    <xf numFmtId="6" fontId="34" fillId="0" borderId="43" xfId="0" applyNumberFormat="1" applyFont="1" applyBorder="1" applyAlignment="1">
      <alignment horizontal="left" vertical="center"/>
    </xf>
    <xf numFmtId="6" fontId="35" fillId="0" borderId="9" xfId="0" applyNumberFormat="1" applyFont="1" applyBorder="1" applyAlignment="1">
      <alignment horizontal="center" vertical="center"/>
    </xf>
    <xf numFmtId="6" fontId="35" fillId="0" borderId="10" xfId="0" applyNumberFormat="1" applyFont="1" applyBorder="1" applyAlignment="1">
      <alignment horizontal="center" vertical="center"/>
    </xf>
    <xf numFmtId="6" fontId="11" fillId="0" borderId="1" xfId="0" applyNumberFormat="1" applyFont="1" applyBorder="1" applyAlignment="1" applyProtection="1">
      <alignment horizontal="center" vertical="center"/>
      <protection locked="0"/>
    </xf>
    <xf numFmtId="6" fontId="11" fillId="0" borderId="1" xfId="0" applyNumberFormat="1" applyFont="1" applyBorder="1" applyAlignment="1" applyProtection="1">
      <alignment vertical="center"/>
      <protection locked="0"/>
    </xf>
    <xf numFmtId="6" fontId="11" fillId="0" borderId="14" xfId="0" applyNumberFormat="1" applyFont="1" applyBorder="1" applyAlignment="1">
      <alignment vertical="center"/>
    </xf>
    <xf numFmtId="6" fontId="4" fillId="0" borderId="1" xfId="0" applyNumberFormat="1" applyFont="1" applyBorder="1" applyAlignment="1">
      <alignment vertical="center"/>
    </xf>
    <xf numFmtId="6" fontId="4" fillId="0" borderId="1" xfId="0" applyNumberFormat="1" applyFont="1" applyBorder="1" applyAlignment="1">
      <alignment horizontal="left" vertical="center"/>
    </xf>
    <xf numFmtId="6" fontId="0" fillId="0" borderId="1" xfId="0" applyNumberFormat="1" applyBorder="1" applyAlignment="1">
      <alignment horizontal="left" vertical="center"/>
    </xf>
    <xf numFmtId="6" fontId="11" fillId="0" borderId="3" xfId="0" applyNumberFormat="1" applyFont="1" applyBorder="1" applyAlignment="1" applyProtection="1">
      <alignment horizontal="center" vertical="center"/>
      <protection locked="0"/>
    </xf>
    <xf numFmtId="6" fontId="11" fillId="0" borderId="14" xfId="0" applyNumberFormat="1" applyFont="1" applyBorder="1" applyAlignment="1">
      <alignment horizontal="center" vertical="center"/>
    </xf>
    <xf numFmtId="6" fontId="39" fillId="0" borderId="1" xfId="0" applyNumberFormat="1" applyFont="1" applyBorder="1" applyAlignment="1" applyProtection="1">
      <alignment vertical="center"/>
      <protection locked="0"/>
    </xf>
    <xf numFmtId="6" fontId="11" fillId="0" borderId="1" xfId="0" applyNumberFormat="1" applyFont="1" applyBorder="1" applyAlignment="1">
      <alignment horizontal="center" vertical="center"/>
    </xf>
    <xf numFmtId="6" fontId="3" fillId="0" borderId="5" xfId="0" applyNumberFormat="1" applyFont="1" applyBorder="1" applyAlignment="1">
      <alignment vertical="center"/>
    </xf>
    <xf numFmtId="6" fontId="41" fillId="0" borderId="5" xfId="0" applyNumberFormat="1" applyFont="1" applyBorder="1"/>
    <xf numFmtId="6" fontId="42" fillId="0" borderId="0" xfId="0" applyNumberFormat="1" applyFont="1" applyAlignment="1">
      <alignment horizontal="right" vertical="center"/>
    </xf>
    <xf numFmtId="6" fontId="34" fillId="0" borderId="0" xfId="0" applyNumberFormat="1" applyFont="1" applyAlignment="1">
      <alignment horizontal="center" vertical="center"/>
    </xf>
    <xf numFmtId="6" fontId="34" fillId="0" borderId="6" xfId="0" applyNumberFormat="1" applyFont="1" applyBorder="1" applyAlignment="1">
      <alignment horizontal="center" vertical="center"/>
    </xf>
    <xf numFmtId="6" fontId="43" fillId="0" borderId="20" xfId="0" applyNumberFormat="1" applyFont="1" applyBorder="1" applyAlignment="1">
      <alignment horizontal="center" vertical="center"/>
    </xf>
    <xf numFmtId="6" fontId="43" fillId="0" borderId="19" xfId="0" applyNumberFormat="1" applyFont="1" applyBorder="1" applyAlignment="1">
      <alignment horizontal="center" vertical="center"/>
    </xf>
    <xf numFmtId="6" fontId="34" fillId="0" borderId="0" xfId="0" applyNumberFormat="1" applyFont="1" applyAlignment="1">
      <alignment vertical="center"/>
    </xf>
    <xf numFmtId="6" fontId="44" fillId="0" borderId="0" xfId="0" applyNumberFormat="1" applyFont="1" applyAlignment="1">
      <alignment horizontal="right" vertical="center"/>
    </xf>
    <xf numFmtId="6" fontId="43" fillId="0" borderId="0" xfId="0" applyNumberFormat="1" applyFont="1" applyAlignment="1">
      <alignment horizontal="center" vertical="center"/>
    </xf>
    <xf numFmtId="6" fontId="34" fillId="0" borderId="15" xfId="0" applyNumberFormat="1" applyFont="1" applyBorder="1" applyAlignment="1">
      <alignment vertical="center"/>
    </xf>
    <xf numFmtId="6" fontId="44" fillId="0" borderId="17" xfId="0" applyNumberFormat="1" applyFont="1" applyBorder="1" applyAlignment="1">
      <alignment horizontal="right" vertical="center"/>
    </xf>
    <xf numFmtId="6" fontId="43" fillId="0" borderId="17" xfId="0" applyNumberFormat="1" applyFont="1" applyBorder="1" applyAlignment="1">
      <alignment horizontal="center" vertical="center"/>
    </xf>
    <xf numFmtId="6" fontId="43" fillId="0" borderId="16" xfId="0" applyNumberFormat="1" applyFont="1" applyBorder="1" applyAlignment="1">
      <alignment horizontal="center" vertical="center"/>
    </xf>
    <xf numFmtId="6" fontId="34" fillId="0" borderId="5" xfId="0" applyNumberFormat="1" applyFont="1" applyBorder="1" applyAlignment="1">
      <alignment vertical="center"/>
    </xf>
    <xf numFmtId="6" fontId="43" fillId="0" borderId="6" xfId="0" applyNumberFormat="1" applyFont="1" applyBorder="1" applyAlignment="1">
      <alignment horizontal="center" vertical="center"/>
    </xf>
    <xf numFmtId="6" fontId="0" fillId="0" borderId="5" xfId="0" applyNumberFormat="1" applyBorder="1" applyAlignment="1">
      <alignment vertical="center"/>
    </xf>
    <xf numFmtId="6" fontId="26" fillId="0" borderId="0" xfId="0" applyNumberFormat="1" applyFont="1" applyAlignment="1">
      <alignment horizontal="center" vertical="center"/>
    </xf>
    <xf numFmtId="6" fontId="3" fillId="0" borderId="6" xfId="0" applyNumberFormat="1" applyFont="1" applyBorder="1" applyAlignment="1">
      <alignment vertical="center"/>
    </xf>
    <xf numFmtId="6" fontId="4" fillId="0" borderId="5" xfId="0" applyNumberFormat="1" applyFont="1" applyBorder="1" applyAlignment="1">
      <alignment horizontal="center" vertical="center"/>
    </xf>
    <xf numFmtId="6" fontId="45" fillId="0" borderId="5" xfId="0" applyNumberFormat="1" applyFont="1" applyBorder="1" applyAlignment="1">
      <alignment horizontal="center" vertical="center"/>
    </xf>
    <xf numFmtId="6" fontId="46" fillId="0" borderId="0" xfId="0" applyNumberFormat="1" applyFont="1" applyAlignment="1">
      <alignment horizontal="left" vertical="center"/>
    </xf>
    <xf numFmtId="6" fontId="46" fillId="0" borderId="0" xfId="0" applyNumberFormat="1" applyFont="1" applyAlignment="1" applyProtection="1">
      <alignment horizontal="center" vertical="center"/>
      <protection locked="0"/>
    </xf>
    <xf numFmtId="6" fontId="46" fillId="0" borderId="0" xfId="0" applyNumberFormat="1" applyFont="1" applyAlignment="1" applyProtection="1">
      <alignment horizontal="right" vertical="center"/>
      <protection locked="0"/>
    </xf>
    <xf numFmtId="9" fontId="45" fillId="0" borderId="5" xfId="2" applyFont="1" applyBorder="1" applyAlignment="1">
      <alignment horizontal="center" vertical="center"/>
    </xf>
    <xf numFmtId="6" fontId="45" fillId="0" borderId="0" xfId="0" applyNumberFormat="1" applyFont="1" applyAlignment="1">
      <alignment vertical="center"/>
    </xf>
    <xf numFmtId="6" fontId="45" fillId="0" borderId="0" xfId="0" applyNumberFormat="1" applyFont="1" applyAlignment="1" applyProtection="1">
      <alignment horizontal="center" vertical="center"/>
      <protection locked="0"/>
    </xf>
    <xf numFmtId="6" fontId="45" fillId="0" borderId="0" xfId="0" applyNumberFormat="1" applyFont="1" applyAlignment="1" applyProtection="1">
      <alignment horizontal="right" vertical="center"/>
      <protection locked="0"/>
    </xf>
    <xf numFmtId="6" fontId="45" fillId="0" borderId="0" xfId="0" applyNumberFormat="1" applyFont="1" applyAlignment="1">
      <alignment horizontal="center" vertical="center"/>
    </xf>
    <xf numFmtId="6" fontId="45" fillId="0" borderId="0" xfId="0" applyNumberFormat="1" applyFont="1" applyAlignment="1">
      <alignment horizontal="right" vertical="center"/>
    </xf>
    <xf numFmtId="169" fontId="45" fillId="0" borderId="5" xfId="2" applyNumberFormat="1" applyFont="1" applyBorder="1" applyAlignment="1">
      <alignment horizontal="center" vertical="center"/>
    </xf>
    <xf numFmtId="6" fontId="3" fillId="0" borderId="0" xfId="0" applyNumberFormat="1" applyFont="1" applyAlignment="1">
      <alignment horizontal="center" vertical="center"/>
    </xf>
    <xf numFmtId="6" fontId="4" fillId="0" borderId="0" xfId="0" applyNumberFormat="1" applyFont="1" applyAlignment="1">
      <alignment horizontal="right" vertical="center"/>
    </xf>
    <xf numFmtId="6" fontId="0" fillId="0" borderId="18" xfId="0" applyNumberFormat="1" applyBorder="1" applyAlignment="1">
      <alignment vertical="center"/>
    </xf>
    <xf numFmtId="6" fontId="0" fillId="0" borderId="20" xfId="0" applyNumberFormat="1" applyBorder="1" applyAlignment="1">
      <alignment vertical="center"/>
    </xf>
    <xf numFmtId="6" fontId="0" fillId="0" borderId="20" xfId="0" applyNumberFormat="1" applyBorder="1" applyAlignment="1">
      <alignment horizontal="center" vertical="center"/>
    </xf>
    <xf numFmtId="6" fontId="0" fillId="0" borderId="19" xfId="0" applyNumberFormat="1" applyBorder="1" applyAlignment="1">
      <alignment vertical="center"/>
    </xf>
    <xf numFmtId="6" fontId="47" fillId="4" borderId="0" xfId="0" applyNumberFormat="1" applyFont="1" applyFill="1" applyAlignment="1">
      <alignment horizontal="left" vertical="center"/>
    </xf>
    <xf numFmtId="0" fontId="48" fillId="0" borderId="0" xfId="0" applyFont="1"/>
    <xf numFmtId="0" fontId="0" fillId="0" borderId="0" xfId="0" applyProtection="1">
      <protection locked="0"/>
    </xf>
    <xf numFmtId="0" fontId="22" fillId="0" borderId="15" xfId="0" applyFont="1" applyBorder="1" applyAlignment="1">
      <alignment wrapText="1"/>
    </xf>
    <xf numFmtId="0" fontId="22" fillId="0" borderId="17" xfId="0" applyFont="1" applyBorder="1" applyAlignment="1">
      <alignment wrapText="1"/>
    </xf>
    <xf numFmtId="0" fontId="22" fillId="0" borderId="16" xfId="0" applyFont="1" applyBorder="1" applyAlignment="1">
      <alignment wrapText="1"/>
    </xf>
    <xf numFmtId="0" fontId="0" fillId="0" borderId="0" xfId="0" applyAlignment="1" applyProtection="1">
      <alignment wrapText="1"/>
      <protection locked="0"/>
    </xf>
    <xf numFmtId="0" fontId="0" fillId="0" borderId="5" xfId="0" applyBorder="1"/>
    <xf numFmtId="165" fontId="0" fillId="0" borderId="6" xfId="1" applyNumberFormat="1" applyFont="1" applyBorder="1" applyProtection="1"/>
    <xf numFmtId="165" fontId="0" fillId="0" borderId="34" xfId="1" applyNumberFormat="1" applyFont="1" applyBorder="1" applyProtection="1"/>
    <xf numFmtId="0" fontId="25" fillId="0" borderId="5" xfId="0" applyFont="1" applyBorder="1"/>
    <xf numFmtId="0" fontId="0" fillId="0" borderId="6" xfId="0" applyBorder="1"/>
    <xf numFmtId="0" fontId="22" fillId="0" borderId="5" xfId="0" applyFont="1" applyBorder="1" applyAlignment="1">
      <alignment vertical="top" wrapText="1"/>
    </xf>
    <xf numFmtId="0" fontId="0" fillId="0" borderId="0" xfId="0" applyAlignment="1" applyProtection="1">
      <alignment vertical="top"/>
      <protection locked="0"/>
    </xf>
    <xf numFmtId="0" fontId="22" fillId="0" borderId="6" xfId="0" applyFont="1" applyBorder="1" applyAlignment="1">
      <alignment vertical="top" wrapText="1"/>
    </xf>
    <xf numFmtId="0" fontId="0" fillId="0" borderId="5" xfId="0" applyBorder="1" applyProtection="1">
      <protection locked="0"/>
    </xf>
    <xf numFmtId="165" fontId="0" fillId="0" borderId="34" xfId="0" applyNumberFormat="1" applyBorder="1"/>
    <xf numFmtId="0" fontId="0" fillId="0" borderId="18" xfId="0" applyBorder="1"/>
    <xf numFmtId="0" fontId="0" fillId="0" borderId="20" xfId="0" applyBorder="1"/>
    <xf numFmtId="0" fontId="0" fillId="0" borderId="20" xfId="0" applyBorder="1" applyProtection="1">
      <protection locked="0"/>
    </xf>
    <xf numFmtId="0" fontId="0" fillId="0" borderId="19" xfId="0" applyBorder="1" applyProtection="1">
      <protection locked="0"/>
    </xf>
    <xf numFmtId="0" fontId="25" fillId="0" borderId="0" xfId="0" applyFont="1" applyAlignment="1">
      <alignment horizontal="center"/>
    </xf>
    <xf numFmtId="165" fontId="25" fillId="0" borderId="0" xfId="1" applyNumberFormat="1" applyFont="1" applyBorder="1" applyProtection="1"/>
    <xf numFmtId="0" fontId="0" fillId="0" borderId="15" xfId="0" applyBorder="1" applyAlignment="1">
      <alignment horizontal="center"/>
    </xf>
    <xf numFmtId="0" fontId="49" fillId="0" borderId="17" xfId="0" applyFont="1" applyBorder="1"/>
    <xf numFmtId="0" fontId="0" fillId="0" borderId="17" xfId="0" applyBorder="1"/>
    <xf numFmtId="165" fontId="0" fillId="0" borderId="16" xfId="1" applyNumberFormat="1" applyFont="1" applyBorder="1" applyProtection="1"/>
    <xf numFmtId="0" fontId="0" fillId="0" borderId="5" xfId="0" applyBorder="1" applyAlignment="1">
      <alignment horizontal="center"/>
    </xf>
    <xf numFmtId="165" fontId="0" fillId="0" borderId="0" xfId="1" applyNumberFormat="1" applyFont="1" applyBorder="1" applyAlignment="1" applyProtection="1">
      <alignment horizontal="left"/>
    </xf>
    <xf numFmtId="165" fontId="2" fillId="0" borderId="34" xfId="1" applyNumberFormat="1" applyFont="1" applyBorder="1" applyProtection="1"/>
    <xf numFmtId="0" fontId="49" fillId="0" borderId="0" xfId="0" applyFont="1"/>
    <xf numFmtId="0" fontId="0" fillId="0" borderId="18" xfId="0" applyBorder="1" applyAlignment="1">
      <alignment horizontal="center"/>
    </xf>
    <xf numFmtId="0" fontId="2" fillId="0" borderId="20" xfId="0" applyFont="1" applyBorder="1" applyAlignment="1">
      <alignment horizontal="right"/>
    </xf>
    <xf numFmtId="165" fontId="2" fillId="0" borderId="19" xfId="1" applyNumberFormat="1" applyFont="1" applyBorder="1" applyProtection="1"/>
    <xf numFmtId="0" fontId="0" fillId="0" borderId="0" xfId="0" applyAlignment="1" applyProtection="1">
      <alignment horizontal="center"/>
      <protection locked="0"/>
    </xf>
    <xf numFmtId="165" fontId="0" fillId="0" borderId="0" xfId="1" applyNumberFormat="1" applyFont="1" applyBorder="1" applyProtection="1">
      <protection locked="0"/>
    </xf>
    <xf numFmtId="0" fontId="25" fillId="0" borderId="17" xfId="0" applyFont="1" applyBorder="1"/>
    <xf numFmtId="0" fontId="25" fillId="0" borderId="16" xfId="0" applyFont="1" applyBorder="1"/>
    <xf numFmtId="0" fontId="0" fillId="0" borderId="16" xfId="0" applyBorder="1"/>
    <xf numFmtId="165" fontId="0" fillId="0" borderId="0" xfId="1" applyNumberFormat="1" applyFont="1" applyBorder="1" applyProtection="1"/>
    <xf numFmtId="165" fontId="0" fillId="0" borderId="6" xfId="0" applyNumberFormat="1" applyBorder="1"/>
    <xf numFmtId="165" fontId="2" fillId="0" borderId="34" xfId="0" applyNumberFormat="1" applyFont="1" applyBorder="1"/>
    <xf numFmtId="165" fontId="2" fillId="0" borderId="36" xfId="0" applyNumberFormat="1" applyFont="1" applyBorder="1"/>
    <xf numFmtId="0" fontId="25" fillId="0" borderId="0" xfId="0" applyFont="1" applyAlignment="1">
      <alignment wrapText="1"/>
    </xf>
    <xf numFmtId="165" fontId="25" fillId="0" borderId="0" xfId="1" applyNumberFormat="1" applyFont="1" applyProtection="1"/>
    <xf numFmtId="0" fontId="0" fillId="0" borderId="17" xfId="0" applyBorder="1" applyAlignment="1">
      <alignment wrapText="1"/>
    </xf>
    <xf numFmtId="165" fontId="0" fillId="0" borderId="17" xfId="1" applyNumberFormat="1" applyFont="1" applyBorder="1" applyProtection="1"/>
    <xf numFmtId="0" fontId="0" fillId="0" borderId="17" xfId="0" applyBorder="1" applyProtection="1">
      <protection locked="0"/>
    </xf>
    <xf numFmtId="0" fontId="0" fillId="0" borderId="20" xfId="0" applyBorder="1" applyAlignment="1">
      <alignment wrapText="1"/>
    </xf>
    <xf numFmtId="165" fontId="0" fillId="0" borderId="20" xfId="1" applyNumberFormat="1" applyFont="1" applyBorder="1" applyProtection="1"/>
    <xf numFmtId="0" fontId="2" fillId="0" borderId="20" xfId="0" applyFont="1" applyBorder="1"/>
    <xf numFmtId="0" fontId="0" fillId="0" borderId="0" xfId="0" applyAlignment="1">
      <alignment horizontal="center"/>
    </xf>
    <xf numFmtId="165" fontId="0" fillId="0" borderId="0" xfId="1" applyNumberFormat="1" applyFont="1" applyProtection="1"/>
    <xf numFmtId="0" fontId="49" fillId="0" borderId="17" xfId="0" applyFont="1" applyBorder="1" applyAlignment="1">
      <alignment wrapText="1"/>
    </xf>
    <xf numFmtId="0" fontId="0" fillId="2" borderId="0" xfId="0" applyFill="1"/>
    <xf numFmtId="0" fontId="2" fillId="0" borderId="0" xfId="0" applyFont="1" applyAlignment="1">
      <alignment wrapText="1"/>
    </xf>
    <xf numFmtId="0" fontId="49" fillId="0" borderId="0" xfId="0" applyFont="1" applyAlignment="1">
      <alignment wrapText="1"/>
    </xf>
    <xf numFmtId="165" fontId="2" fillId="0" borderId="27" xfId="0" applyNumberFormat="1" applyFont="1" applyBorder="1"/>
    <xf numFmtId="0" fontId="2" fillId="0" borderId="4" xfId="0" applyFont="1" applyBorder="1"/>
    <xf numFmtId="165" fontId="2" fillId="0" borderId="36" xfId="1" applyNumberFormat="1" applyFont="1" applyBorder="1" applyProtection="1"/>
    <xf numFmtId="165" fontId="0" fillId="0" borderId="0" xfId="1" applyNumberFormat="1" applyFont="1" applyProtection="1">
      <protection locked="0"/>
    </xf>
    <xf numFmtId="0" fontId="25" fillId="0" borderId="0" xfId="0" applyFont="1" applyAlignment="1">
      <alignment horizontal="left"/>
    </xf>
    <xf numFmtId="0" fontId="2" fillId="0" borderId="0" xfId="0" applyFont="1" applyAlignment="1">
      <alignment horizontal="right"/>
    </xf>
    <xf numFmtId="165" fontId="2" fillId="0" borderId="19" xfId="0" applyNumberFormat="1" applyFont="1" applyBorder="1"/>
    <xf numFmtId="165" fontId="2" fillId="0" borderId="6" xfId="1" applyNumberFormat="1" applyFont="1" applyBorder="1" applyProtection="1"/>
    <xf numFmtId="0" fontId="25" fillId="0" borderId="15" xfId="0" applyFont="1" applyBorder="1" applyAlignment="1">
      <alignment horizontal="center"/>
    </xf>
    <xf numFmtId="165" fontId="25" fillId="0" borderId="17" xfId="1" applyNumberFormat="1" applyFont="1" applyBorder="1" applyProtection="1"/>
    <xf numFmtId="165" fontId="25" fillId="0" borderId="16" xfId="1" applyNumberFormat="1" applyFont="1" applyBorder="1" applyProtection="1"/>
    <xf numFmtId="0" fontId="0" fillId="0" borderId="5" xfId="0" applyBorder="1" applyAlignment="1">
      <alignment horizontal="center" wrapText="1"/>
    </xf>
    <xf numFmtId="165" fontId="0" fillId="0" borderId="19" xfId="1" applyNumberFormat="1" applyFont="1" applyBorder="1" applyProtection="1"/>
    <xf numFmtId="0" fontId="50" fillId="0" borderId="0" xfId="3" applyFont="1" applyBorder="1" applyAlignment="1">
      <alignment horizontal="center"/>
    </xf>
    <xf numFmtId="0" fontId="50" fillId="0" borderId="0" xfId="3" applyFont="1" applyBorder="1"/>
    <xf numFmtId="0" fontId="40" fillId="0" borderId="15" xfId="3" applyFont="1" applyBorder="1" applyAlignment="1">
      <alignment horizontal="center"/>
    </xf>
    <xf numFmtId="0" fontId="51" fillId="0" borderId="17" xfId="3" applyFont="1" applyBorder="1"/>
    <xf numFmtId="0" fontId="40" fillId="0" borderId="17" xfId="3" applyFont="1" applyBorder="1"/>
    <xf numFmtId="0" fontId="40" fillId="0" borderId="17" xfId="3" applyFont="1" applyBorder="1" applyAlignment="1">
      <alignment horizontal="center"/>
    </xf>
    <xf numFmtId="166" fontId="40" fillId="0" borderId="17" xfId="3" applyNumberFormat="1" applyFont="1" applyBorder="1" applyAlignment="1">
      <alignment horizontal="center"/>
    </xf>
    <xf numFmtId="171" fontId="40" fillId="0" borderId="16" xfId="3" applyNumberFormat="1" applyFont="1" applyBorder="1" applyAlignment="1">
      <alignment horizontal="center"/>
    </xf>
    <xf numFmtId="0" fontId="50" fillId="0" borderId="0" xfId="3" applyFont="1" applyBorder="1" applyAlignment="1" applyProtection="1">
      <alignment horizontal="center"/>
      <protection locked="0"/>
    </xf>
    <xf numFmtId="0" fontId="50" fillId="0" borderId="0" xfId="3" applyFont="1" applyBorder="1" applyProtection="1">
      <protection locked="0"/>
    </xf>
    <xf numFmtId="0" fontId="3" fillId="0" borderId="0" xfId="3" applyBorder="1" applyProtection="1">
      <protection locked="0"/>
    </xf>
    <xf numFmtId="0" fontId="40" fillId="0" borderId="5" xfId="3" applyFont="1" applyBorder="1" applyAlignment="1">
      <alignment horizontal="center"/>
    </xf>
    <xf numFmtId="166" fontId="40" fillId="0" borderId="0" xfId="3" applyNumberFormat="1" applyFont="1" applyBorder="1" applyAlignment="1">
      <alignment horizontal="right" vertical="center"/>
    </xf>
    <xf numFmtId="0" fontId="52" fillId="0" borderId="0" xfId="0" applyFont="1" applyProtection="1">
      <protection locked="0"/>
    </xf>
    <xf numFmtId="171" fontId="40" fillId="0" borderId="6" xfId="3" applyNumberFormat="1" applyFont="1" applyBorder="1" applyAlignment="1">
      <alignment horizontal="center"/>
    </xf>
    <xf numFmtId="0" fontId="40" fillId="0" borderId="0" xfId="3" applyFont="1" applyBorder="1" applyAlignment="1" applyProtection="1">
      <alignment horizontal="center"/>
      <protection locked="0"/>
    </xf>
    <xf numFmtId="0" fontId="51" fillId="0" borderId="0" xfId="3" applyFont="1" applyBorder="1" applyProtection="1">
      <protection locked="0"/>
    </xf>
    <xf numFmtId="0" fontId="40" fillId="0" borderId="0" xfId="3" applyFont="1" applyBorder="1" applyProtection="1">
      <protection locked="0"/>
    </xf>
    <xf numFmtId="0" fontId="40" fillId="0" borderId="0" xfId="3" applyFont="1" applyBorder="1" applyAlignment="1">
      <alignment horizontal="left" vertical="distributed"/>
    </xf>
    <xf numFmtId="0" fontId="53" fillId="0" borderId="0" xfId="0" applyFont="1"/>
    <xf numFmtId="171" fontId="40" fillId="0" borderId="34" xfId="3" applyNumberFormat="1" applyFont="1" applyBorder="1" applyAlignment="1">
      <alignment horizontal="center"/>
    </xf>
    <xf numFmtId="0" fontId="51" fillId="0" borderId="0" xfId="3" applyFont="1" applyBorder="1"/>
    <xf numFmtId="0" fontId="40" fillId="0" borderId="0" xfId="3" applyFont="1" applyBorder="1"/>
    <xf numFmtId="166" fontId="40" fillId="0" borderId="0" xfId="3" applyNumberFormat="1" applyFont="1" applyBorder="1" applyAlignment="1">
      <alignment horizontal="center"/>
    </xf>
    <xf numFmtId="0" fontId="52" fillId="0" borderId="0" xfId="0" applyFont="1"/>
    <xf numFmtId="0" fontId="40" fillId="0" borderId="0" xfId="3" applyFont="1" applyBorder="1" applyAlignment="1" applyProtection="1">
      <alignment horizontal="left" vertical="distributed"/>
      <protection locked="0"/>
    </xf>
    <xf numFmtId="0" fontId="52" fillId="0" borderId="6" xfId="0" applyFont="1" applyBorder="1"/>
    <xf numFmtId="0" fontId="54" fillId="0" borderId="18" xfId="3" applyFont="1" applyBorder="1" applyAlignment="1">
      <alignment horizontal="center"/>
    </xf>
    <xf numFmtId="0" fontId="52" fillId="0" borderId="20" xfId="0" applyFont="1" applyBorder="1"/>
    <xf numFmtId="0" fontId="54" fillId="0" borderId="20" xfId="3" applyFont="1" applyBorder="1"/>
    <xf numFmtId="0" fontId="54" fillId="0" borderId="20" xfId="3" applyFont="1" applyBorder="1" applyAlignment="1">
      <alignment horizontal="center"/>
    </xf>
    <xf numFmtId="171" fontId="54" fillId="0" borderId="19" xfId="3" applyNumberFormat="1" applyFont="1" applyBorder="1" applyAlignment="1">
      <alignment horizontal="center"/>
    </xf>
    <xf numFmtId="0" fontId="54" fillId="0" borderId="0" xfId="3" applyFont="1" applyBorder="1" applyAlignment="1" applyProtection="1">
      <alignment horizontal="center"/>
      <protection locked="0"/>
    </xf>
    <xf numFmtId="0" fontId="54" fillId="0" borderId="0" xfId="3" applyFont="1" applyBorder="1" applyProtection="1">
      <protection locked="0"/>
    </xf>
    <xf numFmtId="165" fontId="0" fillId="0" borderId="0" xfId="1" applyNumberFormat="1" applyFont="1" applyBorder="1" applyAlignment="1" applyProtection="1">
      <alignment horizontal="center"/>
    </xf>
    <xf numFmtId="165" fontId="0" fillId="0" borderId="0" xfId="1" applyNumberFormat="1" applyFont="1" applyBorder="1" applyAlignment="1" applyProtection="1"/>
    <xf numFmtId="165" fontId="2" fillId="0" borderId="0" xfId="1" applyNumberFormat="1" applyFont="1" applyBorder="1" applyProtection="1"/>
    <xf numFmtId="0" fontId="25" fillId="0" borderId="0" xfId="0" applyFont="1" applyAlignment="1">
      <alignment horizontal="left" wrapText="1"/>
    </xf>
    <xf numFmtId="165" fontId="25" fillId="0" borderId="0" xfId="1" applyNumberFormat="1" applyFont="1" applyProtection="1">
      <protection locked="0"/>
    </xf>
    <xf numFmtId="0" fontId="50" fillId="0" borderId="17" xfId="3" applyFont="1" applyBorder="1" applyAlignment="1">
      <alignment horizontal="left"/>
    </xf>
    <xf numFmtId="0" fontId="50" fillId="0" borderId="0" xfId="3" applyFont="1" applyBorder="1" applyAlignment="1">
      <alignment horizontal="left"/>
    </xf>
    <xf numFmtId="0" fontId="25" fillId="0" borderId="0" xfId="0" applyFont="1" applyAlignment="1">
      <alignment horizontal="center" wrapText="1"/>
    </xf>
    <xf numFmtId="0" fontId="25" fillId="0" borderId="0" xfId="0" applyFont="1" applyAlignment="1">
      <alignment horizontal="center" vertical="center"/>
    </xf>
    <xf numFmtId="165" fontId="25" fillId="0" borderId="0" xfId="1" applyNumberFormat="1" applyFont="1" applyAlignment="1" applyProtection="1">
      <alignment horizontal="center" vertical="center"/>
    </xf>
    <xf numFmtId="0" fontId="0" fillId="0" borderId="15" xfId="0" applyBorder="1" applyAlignment="1">
      <alignment horizontal="center" vertical="center"/>
    </xf>
    <xf numFmtId="0" fontId="25" fillId="0" borderId="17" xfId="0" applyFont="1" applyBorder="1" applyAlignment="1">
      <alignment horizontal="left" wrapText="1"/>
    </xf>
    <xf numFmtId="0" fontId="0" fillId="0" borderId="17" xfId="0" applyBorder="1" applyAlignment="1">
      <alignment horizontal="center" vertical="center"/>
    </xf>
    <xf numFmtId="0" fontId="0" fillId="0" borderId="5" xfId="0" applyBorder="1" applyAlignment="1">
      <alignment horizontal="center" vertical="center"/>
    </xf>
    <xf numFmtId="165" fontId="0" fillId="0" borderId="0" xfId="1" applyNumberFormat="1" applyFont="1" applyBorder="1" applyAlignment="1" applyProtection="1">
      <alignment horizontal="center" vertical="center"/>
    </xf>
    <xf numFmtId="0" fontId="2" fillId="0" borderId="34" xfId="0" applyFont="1" applyBorder="1"/>
    <xf numFmtId="0" fontId="56" fillId="0" borderId="0" xfId="0" applyFont="1"/>
    <xf numFmtId="0" fontId="55" fillId="0" borderId="0" xfId="0" applyFont="1" applyAlignment="1">
      <alignment wrapText="1"/>
    </xf>
    <xf numFmtId="0" fontId="0" fillId="0" borderId="18" xfId="0" applyBorder="1" applyAlignment="1">
      <alignment horizontal="center" vertical="center"/>
    </xf>
    <xf numFmtId="0" fontId="0" fillId="0" borderId="20" xfId="0" applyBorder="1" applyAlignment="1">
      <alignment horizontal="center" vertical="center"/>
    </xf>
    <xf numFmtId="44" fontId="2" fillId="0" borderId="19" xfId="1" applyFont="1" applyBorder="1" applyProtection="1"/>
    <xf numFmtId="0" fontId="0" fillId="0" borderId="0" xfId="0" applyAlignment="1" applyProtection="1">
      <alignment horizontal="center" vertical="center"/>
      <protection locked="0"/>
    </xf>
    <xf numFmtId="0" fontId="19" fillId="0" borderId="46" xfId="0" applyFont="1" applyBorder="1" applyAlignment="1">
      <alignment vertical="center"/>
    </xf>
    <xf numFmtId="164" fontId="10" fillId="0" borderId="47" xfId="0" applyNumberFormat="1" applyFont="1" applyBorder="1" applyAlignment="1">
      <alignment horizontal="center" vertical="center"/>
    </xf>
    <xf numFmtId="164" fontId="14" fillId="0" borderId="47" xfId="0" applyNumberFormat="1" applyFont="1" applyBorder="1" applyAlignment="1">
      <alignment horizontal="center" vertical="center"/>
    </xf>
    <xf numFmtId="164" fontId="14" fillId="0" borderId="48" xfId="0" applyNumberFormat="1" applyFont="1" applyBorder="1" applyAlignment="1">
      <alignment horizontal="center" vertical="center"/>
    </xf>
    <xf numFmtId="164" fontId="14" fillId="0" borderId="49" xfId="0" applyNumberFormat="1" applyFont="1" applyBorder="1" applyAlignment="1">
      <alignment horizontal="center" vertical="center"/>
    </xf>
    <xf numFmtId="166" fontId="0" fillId="0" borderId="50" xfId="0" applyNumberFormat="1" applyBorder="1" applyAlignment="1">
      <alignment vertical="center"/>
    </xf>
    <xf numFmtId="165" fontId="0" fillId="0" borderId="6" xfId="1" applyNumberFormat="1" applyFont="1" applyBorder="1"/>
    <xf numFmtId="165" fontId="0" fillId="0" borderId="25" xfId="1" applyNumberFormat="1" applyFont="1" applyBorder="1"/>
    <xf numFmtId="165" fontId="2" fillId="0" borderId="19" xfId="1" applyNumberFormat="1" applyFont="1" applyBorder="1"/>
    <xf numFmtId="165" fontId="0" fillId="0" borderId="19" xfId="1" applyNumberFormat="1" applyFont="1" applyBorder="1"/>
    <xf numFmtId="0" fontId="58" fillId="0" borderId="0" xfId="0" applyFont="1"/>
    <xf numFmtId="0" fontId="0" fillId="0" borderId="0" xfId="0" quotePrefix="1"/>
    <xf numFmtId="0" fontId="3" fillId="0" borderId="0" xfId="3" applyBorder="1" applyAlignment="1">
      <alignment textRotation="90"/>
    </xf>
    <xf numFmtId="0" fontId="4" fillId="0" borderId="2" xfId="3" applyFont="1" applyBorder="1"/>
    <xf numFmtId="0" fontId="4" fillId="0" borderId="33" xfId="3" applyFont="1" applyBorder="1"/>
    <xf numFmtId="0" fontId="3" fillId="0" borderId="0" xfId="1" applyNumberFormat="1" applyFont="1" applyBorder="1"/>
    <xf numFmtId="0" fontId="3" fillId="2" borderId="0" xfId="1" applyNumberFormat="1" applyFont="1" applyFill="1" applyBorder="1"/>
    <xf numFmtId="0" fontId="3" fillId="2" borderId="0" xfId="3" applyFill="1" applyBorder="1"/>
    <xf numFmtId="0" fontId="3" fillId="0" borderId="0" xfId="1" applyNumberFormat="1" applyFont="1" applyFill="1" applyBorder="1"/>
    <xf numFmtId="165" fontId="2" fillId="0" borderId="0" xfId="1" applyNumberFormat="1" applyFont="1" applyBorder="1"/>
    <xf numFmtId="165" fontId="2" fillId="0" borderId="36" xfId="1" applyNumberFormat="1" applyFont="1" applyBorder="1"/>
    <xf numFmtId="165" fontId="0" fillId="0" borderId="6" xfId="1" applyNumberFormat="1" applyFont="1" applyFill="1" applyBorder="1"/>
    <xf numFmtId="0" fontId="59" fillId="16" borderId="51" xfId="0" applyFont="1" applyFill="1" applyBorder="1" applyAlignment="1">
      <alignment vertical="center" wrapText="1"/>
    </xf>
    <xf numFmtId="0" fontId="60" fillId="0" borderId="0" xfId="0" applyFont="1" applyAlignment="1">
      <alignment horizontal="left" vertical="center"/>
    </xf>
    <xf numFmtId="0" fontId="61" fillId="0" borderId="0" xfId="3" applyFont="1" applyBorder="1" applyAlignment="1">
      <alignment vertical="center"/>
    </xf>
    <xf numFmtId="164" fontId="0" fillId="0" borderId="0" xfId="0" applyNumberFormat="1"/>
    <xf numFmtId="0" fontId="0" fillId="0" borderId="33" xfId="0" applyBorder="1"/>
    <xf numFmtId="164" fontId="0" fillId="0" borderId="33" xfId="0" applyNumberFormat="1" applyBorder="1"/>
    <xf numFmtId="165" fontId="0" fillId="0" borderId="0" xfId="1" applyNumberFormat="1" applyFont="1" applyFill="1"/>
    <xf numFmtId="0" fontId="62" fillId="0" borderId="0" xfId="0" applyFont="1"/>
    <xf numFmtId="165" fontId="0" fillId="0" borderId="0" xfId="0" applyNumberFormat="1" applyProtection="1">
      <protection locked="0"/>
    </xf>
    <xf numFmtId="6" fontId="26" fillId="0" borderId="13" xfId="0" applyNumberFormat="1" applyFont="1" applyBorder="1" applyAlignment="1">
      <alignment vertical="center"/>
    </xf>
    <xf numFmtId="6" fontId="11" fillId="0" borderId="1" xfId="0" applyNumberFormat="1" applyFont="1" applyBorder="1" applyAlignment="1">
      <alignment vertical="center"/>
    </xf>
    <xf numFmtId="6" fontId="11" fillId="0" borderId="3" xfId="0" applyNumberFormat="1" applyFont="1" applyBorder="1" applyAlignment="1">
      <alignment horizontal="center" vertical="center"/>
    </xf>
    <xf numFmtId="0" fontId="4" fillId="0" borderId="2" xfId="0" applyFont="1" applyBorder="1" applyAlignment="1">
      <alignment horizontal="center" vertical="center"/>
    </xf>
    <xf numFmtId="170" fontId="11" fillId="0" borderId="3" xfId="0" applyNumberFormat="1" applyFont="1" applyBorder="1" applyAlignment="1">
      <alignment horizontal="center" vertical="center"/>
    </xf>
    <xf numFmtId="170" fontId="11" fillId="0" borderId="1" xfId="0" applyNumberFormat="1" applyFont="1" applyBorder="1" applyAlignment="1">
      <alignment vertical="center"/>
    </xf>
    <xf numFmtId="0" fontId="3" fillId="0" borderId="3" xfId="0" applyFont="1" applyBorder="1" applyAlignment="1">
      <alignment vertical="distributed"/>
    </xf>
    <xf numFmtId="0" fontId="0" fillId="0" borderId="3" xfId="0" applyBorder="1" applyAlignment="1">
      <alignment vertical="distributed"/>
    </xf>
    <xf numFmtId="165" fontId="0" fillId="0" borderId="0" xfId="8" applyNumberFormat="1" applyFont="1" applyAlignment="1" applyProtection="1">
      <alignment vertical="center"/>
    </xf>
    <xf numFmtId="0" fontId="4" fillId="0" borderId="1" xfId="0" applyFont="1" applyBorder="1" applyAlignment="1">
      <alignment horizontal="center" vertical="center"/>
    </xf>
    <xf numFmtId="0" fontId="26" fillId="0" borderId="2" xfId="0" applyFont="1" applyBorder="1" applyAlignment="1">
      <alignment vertical="center"/>
    </xf>
    <xf numFmtId="0" fontId="3" fillId="0" borderId="3" xfId="0" applyFont="1" applyBorder="1" applyAlignment="1">
      <alignment vertical="center"/>
    </xf>
    <xf numFmtId="170" fontId="11" fillId="0" borderId="1" xfId="0" applyNumberFormat="1" applyFont="1" applyBorder="1" applyAlignment="1">
      <alignment horizontal="center" vertical="center"/>
    </xf>
    <xf numFmtId="170" fontId="11" fillId="0" borderId="45" xfId="0" applyNumberFormat="1" applyFont="1" applyBorder="1" applyAlignment="1">
      <alignment horizontal="center" vertical="center"/>
    </xf>
    <xf numFmtId="0" fontId="0" fillId="0" borderId="45" xfId="0" applyBorder="1" applyAlignment="1">
      <alignment vertical="center"/>
    </xf>
    <xf numFmtId="170" fontId="39" fillId="0" borderId="1" xfId="0" applyNumberFormat="1" applyFont="1" applyBorder="1" applyAlignment="1">
      <alignment vertical="center"/>
    </xf>
    <xf numFmtId="6" fontId="11" fillId="0" borderId="2" xfId="0" applyNumberFormat="1" applyFont="1" applyBorder="1" applyAlignment="1">
      <alignment horizontal="right" vertical="center"/>
    </xf>
    <xf numFmtId="6" fontId="46" fillId="0" borderId="0" xfId="0" applyNumberFormat="1" applyFont="1" applyAlignment="1">
      <alignment horizontal="center" vertical="center"/>
    </xf>
    <xf numFmtId="6" fontId="46" fillId="0" borderId="0" xfId="0" applyNumberFormat="1" applyFont="1" applyAlignment="1">
      <alignment horizontal="right" vertical="center"/>
    </xf>
    <xf numFmtId="9" fontId="45" fillId="0" borderId="5" xfId="2" applyFont="1" applyBorder="1" applyAlignment="1" applyProtection="1">
      <alignment horizontal="center" vertical="center"/>
    </xf>
    <xf numFmtId="169" fontId="45" fillId="0" borderId="5" xfId="2" applyNumberFormat="1" applyFont="1" applyBorder="1" applyAlignment="1" applyProtection="1">
      <alignment horizontal="center" vertical="center"/>
    </xf>
    <xf numFmtId="164" fontId="14" fillId="0" borderId="26" xfId="0" applyNumberFormat="1" applyFont="1" applyBorder="1" applyAlignment="1">
      <alignment horizontal="center" vertical="center"/>
    </xf>
    <xf numFmtId="164" fontId="14" fillId="0" borderId="22" xfId="0" applyNumberFormat="1" applyFont="1" applyBorder="1" applyAlignment="1">
      <alignment horizontal="center" vertical="center"/>
    </xf>
    <xf numFmtId="164" fontId="14" fillId="0" borderId="28" xfId="0" applyNumberFormat="1" applyFont="1" applyBorder="1" applyAlignment="1">
      <alignment horizontal="center" vertical="center"/>
    </xf>
    <xf numFmtId="0" fontId="4" fillId="11" borderId="21" xfId="0" applyFont="1" applyFill="1" applyBorder="1" applyAlignment="1">
      <alignment horizontal="center" vertical="top"/>
    </xf>
    <xf numFmtId="0" fontId="4" fillId="11" borderId="7" xfId="0" applyFont="1" applyFill="1" applyBorder="1" applyAlignment="1">
      <alignment horizontal="center" vertical="top"/>
    </xf>
    <xf numFmtId="0" fontId="2" fillId="0" borderId="15" xfId="0" applyFont="1" applyBorder="1"/>
    <xf numFmtId="0" fontId="2" fillId="0" borderId="18" xfId="0" applyFont="1" applyBorder="1"/>
    <xf numFmtId="0" fontId="0" fillId="0" borderId="19" xfId="0" applyBorder="1"/>
    <xf numFmtId="1" fontId="0" fillId="0" borderId="0" xfId="0" applyNumberFormat="1"/>
    <xf numFmtId="0" fontId="0" fillId="0" borderId="0" xfId="0" applyAlignment="1">
      <alignment horizontal="right"/>
    </xf>
    <xf numFmtId="0" fontId="64" fillId="0" borderId="0" xfId="0" applyFont="1"/>
    <xf numFmtId="0" fontId="0" fillId="0" borderId="1" xfId="0" applyBorder="1"/>
    <xf numFmtId="0" fontId="0" fillId="0" borderId="1" xfId="0" applyBorder="1" applyAlignment="1">
      <alignment horizontal="right"/>
    </xf>
    <xf numFmtId="0" fontId="64" fillId="0" borderId="1" xfId="0" applyFont="1" applyBorder="1" applyAlignment="1">
      <alignment horizontal="right"/>
    </xf>
    <xf numFmtId="0" fontId="0" fillId="0" borderId="1" xfId="0" applyBorder="1" applyAlignment="1">
      <alignment textRotation="90"/>
    </xf>
    <xf numFmtId="0" fontId="0" fillId="0" borderId="1" xfId="0" applyBorder="1" applyAlignment="1">
      <alignment horizontal="right" textRotation="90"/>
    </xf>
    <xf numFmtId="0" fontId="64" fillId="0" borderId="1" xfId="0" applyFont="1" applyBorder="1" applyAlignment="1">
      <alignment horizontal="right" textRotation="90"/>
    </xf>
    <xf numFmtId="0" fontId="0" fillId="0" borderId="58" xfId="0" applyBorder="1" applyAlignment="1">
      <alignment horizontal="right" textRotation="90"/>
    </xf>
    <xf numFmtId="0" fontId="0" fillId="0" borderId="0" xfId="0" applyAlignment="1">
      <alignment textRotation="90"/>
    </xf>
    <xf numFmtId="0" fontId="0" fillId="0" borderId="1" xfId="0" applyBorder="1" applyAlignment="1">
      <alignment wrapText="1"/>
    </xf>
    <xf numFmtId="6" fontId="4" fillId="0" borderId="0" xfId="0" applyNumberFormat="1" applyFont="1" applyAlignment="1" applyProtection="1">
      <alignment horizontal="center" vertical="center"/>
      <protection locked="0"/>
    </xf>
    <xf numFmtId="6" fontId="0" fillId="0" borderId="0" xfId="0" applyNumberFormat="1" applyAlignment="1" applyProtection="1">
      <alignment vertical="center"/>
      <protection locked="0"/>
    </xf>
    <xf numFmtId="6" fontId="0" fillId="0" borderId="0" xfId="0" applyNumberFormat="1" applyAlignment="1" applyProtection="1">
      <alignment horizontal="center" vertical="center"/>
      <protection locked="0"/>
    </xf>
    <xf numFmtId="6" fontId="0" fillId="0" borderId="0" xfId="0" applyNumberFormat="1" applyProtection="1">
      <protection locked="0"/>
    </xf>
    <xf numFmtId="6" fontId="29" fillId="0" borderId="0" xfId="0" applyNumberFormat="1" applyFont="1" applyAlignment="1" applyProtection="1">
      <alignment vertical="center"/>
      <protection locked="0"/>
    </xf>
    <xf numFmtId="6" fontId="0" fillId="0" borderId="6" xfId="0" applyNumberFormat="1" applyBorder="1" applyAlignment="1" applyProtection="1">
      <alignment vertical="center"/>
      <protection locked="0"/>
    </xf>
    <xf numFmtId="6" fontId="30" fillId="0" borderId="0" xfId="0" applyNumberFormat="1" applyFont="1" applyAlignment="1" applyProtection="1">
      <alignment vertical="center"/>
      <protection locked="0"/>
    </xf>
    <xf numFmtId="6" fontId="31" fillId="0" borderId="0" xfId="0" applyNumberFormat="1" applyFont="1" applyAlignment="1" applyProtection="1">
      <alignment horizontal="left" vertical="center"/>
      <protection locked="0"/>
    </xf>
    <xf numFmtId="6" fontId="31" fillId="0" borderId="0" xfId="0" applyNumberFormat="1" applyFont="1" applyAlignment="1" applyProtection="1">
      <alignment horizontal="center" vertical="center"/>
      <protection locked="0"/>
    </xf>
    <xf numFmtId="6" fontId="32" fillId="0" borderId="0" xfId="7" applyNumberFormat="1" applyAlignment="1" applyProtection="1">
      <alignment vertical="center"/>
      <protection locked="0"/>
    </xf>
    <xf numFmtId="6" fontId="4" fillId="0" borderId="0" xfId="0" applyNumberFormat="1" applyFont="1" applyAlignment="1" applyProtection="1">
      <alignment horizontal="left" vertical="center"/>
      <protection locked="0"/>
    </xf>
    <xf numFmtId="6" fontId="0" fillId="0" borderId="0" xfId="0" applyNumberFormat="1" applyAlignment="1" applyProtection="1">
      <alignment horizontal="left" vertical="center"/>
      <protection locked="0"/>
    </xf>
    <xf numFmtId="6" fontId="4" fillId="0" borderId="35" xfId="0" applyNumberFormat="1" applyFont="1" applyBorder="1" applyAlignment="1" applyProtection="1">
      <alignment vertical="center"/>
      <protection locked="0"/>
    </xf>
    <xf numFmtId="6" fontId="0" fillId="0" borderId="0" xfId="0" applyNumberFormat="1" applyAlignment="1" applyProtection="1">
      <alignment vertical="center" wrapText="1"/>
      <protection locked="0"/>
    </xf>
    <xf numFmtId="6" fontId="3" fillId="0" borderId="0" xfId="0" applyNumberFormat="1" applyFont="1" applyAlignment="1" applyProtection="1">
      <alignment vertical="center"/>
      <protection locked="0"/>
    </xf>
    <xf numFmtId="6" fontId="4" fillId="0" borderId="0" xfId="0" applyNumberFormat="1" applyFont="1" applyAlignment="1" applyProtection="1">
      <alignment vertical="center"/>
      <protection locked="0"/>
    </xf>
    <xf numFmtId="6" fontId="34" fillId="0" borderId="0" xfId="0" applyNumberFormat="1" applyFont="1" applyAlignment="1" applyProtection="1">
      <alignment horizontal="left" vertical="center"/>
      <protection locked="0"/>
    </xf>
    <xf numFmtId="6" fontId="0" fillId="0" borderId="39" xfId="0" applyNumberFormat="1" applyBorder="1" applyAlignment="1" applyProtection="1">
      <alignment horizontal="left" vertical="center"/>
      <protection locked="0"/>
    </xf>
    <xf numFmtId="6" fontId="0" fillId="0" borderId="1" xfId="0" applyNumberFormat="1" applyBorder="1" applyAlignment="1" applyProtection="1">
      <alignment vertical="center"/>
      <protection locked="0"/>
    </xf>
    <xf numFmtId="6" fontId="0" fillId="0" borderId="1" xfId="0" applyNumberFormat="1" applyBorder="1" applyAlignment="1" applyProtection="1">
      <alignment horizontal="center" vertical="center"/>
      <protection locked="0"/>
    </xf>
    <xf numFmtId="6" fontId="0" fillId="0" borderId="40" xfId="0" applyNumberFormat="1" applyBorder="1" applyAlignment="1" applyProtection="1">
      <alignment vertical="center"/>
      <protection locked="0"/>
    </xf>
    <xf numFmtId="6" fontId="35" fillId="0" borderId="0" xfId="0" applyNumberFormat="1" applyFont="1" applyAlignment="1" applyProtection="1">
      <alignment horizontal="center" vertical="center"/>
      <protection locked="0"/>
    </xf>
    <xf numFmtId="6" fontId="3" fillId="0" borderId="1" xfId="0" applyNumberFormat="1" applyFont="1" applyBorder="1" applyAlignment="1" applyProtection="1">
      <alignment vertical="center"/>
      <protection locked="0"/>
    </xf>
    <xf numFmtId="6" fontId="4" fillId="0" borderId="41" xfId="0" applyNumberFormat="1" applyFont="1" applyBorder="1" applyAlignment="1" applyProtection="1">
      <alignment horizontal="left" vertical="center"/>
      <protection locked="0"/>
    </xf>
    <xf numFmtId="6" fontId="36" fillId="15" borderId="40" xfId="0" applyNumberFormat="1" applyFont="1" applyFill="1" applyBorder="1" applyAlignment="1" applyProtection="1">
      <alignment vertical="center"/>
      <protection locked="0"/>
    </xf>
    <xf numFmtId="6" fontId="0" fillId="15" borderId="0" xfId="0" applyNumberFormat="1" applyFill="1" applyAlignment="1" applyProtection="1">
      <alignment vertical="center"/>
      <protection locked="0"/>
    </xf>
    <xf numFmtId="6" fontId="36" fillId="15" borderId="0" xfId="0" applyNumberFormat="1" applyFont="1" applyFill="1" applyAlignment="1" applyProtection="1">
      <alignment vertical="center"/>
      <protection locked="0"/>
    </xf>
    <xf numFmtId="6" fontId="37" fillId="15" borderId="0" xfId="0" applyNumberFormat="1" applyFont="1" applyFill="1" applyAlignment="1" applyProtection="1">
      <alignment vertical="center"/>
      <protection locked="0"/>
    </xf>
    <xf numFmtId="6" fontId="4" fillId="0" borderId="13" xfId="0" applyNumberFormat="1" applyFont="1" applyBorder="1" applyAlignment="1" applyProtection="1">
      <alignment vertical="center"/>
      <protection locked="0"/>
    </xf>
    <xf numFmtId="6" fontId="0" fillId="0" borderId="1" xfId="0" applyNumberFormat="1" applyBorder="1" applyAlignment="1" applyProtection="1">
      <alignment vertical="center" wrapText="1"/>
      <protection locked="0"/>
    </xf>
    <xf numFmtId="6" fontId="0" fillId="0" borderId="1" xfId="0" applyNumberFormat="1" applyBorder="1" applyAlignment="1" applyProtection="1">
      <alignment horizontal="center" vertical="center" wrapText="1"/>
      <protection locked="0"/>
    </xf>
    <xf numFmtId="6" fontId="0" fillId="15" borderId="0" xfId="0" applyNumberFormat="1" applyFill="1" applyAlignment="1" applyProtection="1">
      <alignment vertical="center" wrapText="1"/>
      <protection locked="0"/>
    </xf>
    <xf numFmtId="6" fontId="36" fillId="15" borderId="0" xfId="0" applyNumberFormat="1" applyFont="1" applyFill="1" applyAlignment="1" applyProtection="1">
      <alignment vertical="center" wrapText="1"/>
      <protection locked="0"/>
    </xf>
    <xf numFmtId="6" fontId="37" fillId="15" borderId="0" xfId="0" applyNumberFormat="1" applyFont="1" applyFill="1" applyAlignment="1" applyProtection="1">
      <alignment vertical="center" wrapText="1"/>
      <protection locked="0"/>
    </xf>
    <xf numFmtId="6" fontId="4" fillId="0" borderId="8" xfId="0" applyNumberFormat="1" applyFont="1" applyBorder="1" applyAlignment="1" applyProtection="1">
      <alignment horizontal="left" vertical="center"/>
      <protection locked="0"/>
    </xf>
    <xf numFmtId="6" fontId="34" fillId="0" borderId="43" xfId="0" applyNumberFormat="1" applyFont="1" applyBorder="1" applyAlignment="1" applyProtection="1">
      <alignment horizontal="left" vertical="center"/>
      <protection locked="0"/>
    </xf>
    <xf numFmtId="6" fontId="35" fillId="0" borderId="9" xfId="0" applyNumberFormat="1" applyFont="1" applyBorder="1" applyAlignment="1" applyProtection="1">
      <alignment horizontal="center" vertical="center"/>
      <protection locked="0"/>
    </xf>
    <xf numFmtId="6" fontId="35" fillId="0" borderId="10" xfId="0" applyNumberFormat="1" applyFont="1" applyBorder="1" applyAlignment="1" applyProtection="1">
      <alignment horizontal="center" vertical="center"/>
      <protection locked="0"/>
    </xf>
    <xf numFmtId="6" fontId="4" fillId="0" borderId="3" xfId="0" applyNumberFormat="1" applyFont="1" applyBorder="1" applyAlignment="1" applyProtection="1">
      <alignment vertical="center"/>
      <protection locked="0"/>
    </xf>
    <xf numFmtId="6" fontId="11" fillId="0" borderId="14" xfId="0" applyNumberFormat="1" applyFont="1" applyBorder="1" applyAlignment="1" applyProtection="1">
      <alignment vertical="center"/>
      <protection locked="0"/>
    </xf>
    <xf numFmtId="6" fontId="4" fillId="0" borderId="1" xfId="0" applyNumberFormat="1" applyFont="1" applyBorder="1" applyAlignment="1" applyProtection="1">
      <alignment vertical="center"/>
      <protection locked="0"/>
    </xf>
    <xf numFmtId="6" fontId="4" fillId="0" borderId="1" xfId="0" applyNumberFormat="1" applyFont="1" applyBorder="1" applyAlignment="1" applyProtection="1">
      <alignment horizontal="left" vertical="center"/>
      <protection locked="0"/>
    </xf>
    <xf numFmtId="6" fontId="0" fillId="0" borderId="1" xfId="0" applyNumberFormat="1" applyBorder="1" applyAlignment="1" applyProtection="1">
      <alignment horizontal="left" vertical="center"/>
      <protection locked="0"/>
    </xf>
    <xf numFmtId="6" fontId="0" fillId="0" borderId="5" xfId="0" applyNumberFormat="1" applyBorder="1" applyAlignment="1" applyProtection="1">
      <alignment vertical="center"/>
      <protection locked="0"/>
    </xf>
    <xf numFmtId="6" fontId="11" fillId="0" borderId="14" xfId="0" applyNumberFormat="1" applyFont="1" applyBorder="1" applyAlignment="1" applyProtection="1">
      <alignment horizontal="right" vertical="center"/>
      <protection locked="0"/>
    </xf>
    <xf numFmtId="6" fontId="3" fillId="0" borderId="5" xfId="0" applyNumberFormat="1" applyFont="1" applyBorder="1" applyAlignment="1" applyProtection="1">
      <alignment vertical="center"/>
      <protection locked="0"/>
    </xf>
    <xf numFmtId="6" fontId="41" fillId="0" borderId="5" xfId="0" applyNumberFormat="1" applyFont="1" applyBorder="1" applyProtection="1">
      <protection locked="0"/>
    </xf>
    <xf numFmtId="6" fontId="42" fillId="0" borderId="0" xfId="0" applyNumberFormat="1" applyFont="1" applyAlignment="1" applyProtection="1">
      <alignment horizontal="right" vertical="center"/>
      <protection locked="0"/>
    </xf>
    <xf numFmtId="6" fontId="34" fillId="0" borderId="0" xfId="0" applyNumberFormat="1" applyFont="1" applyAlignment="1" applyProtection="1">
      <alignment horizontal="center" vertical="center"/>
      <protection locked="0"/>
    </xf>
    <xf numFmtId="6" fontId="34" fillId="0" borderId="6" xfId="0" applyNumberFormat="1" applyFont="1" applyBorder="1" applyAlignment="1" applyProtection="1">
      <alignment horizontal="center" vertical="center"/>
      <protection locked="0"/>
    </xf>
    <xf numFmtId="6" fontId="43" fillId="0" borderId="20" xfId="0" applyNumberFormat="1" applyFont="1" applyBorder="1" applyAlignment="1" applyProtection="1">
      <alignment horizontal="center" vertical="center"/>
      <protection locked="0"/>
    </xf>
    <xf numFmtId="6" fontId="43" fillId="0" borderId="19" xfId="0" applyNumberFormat="1" applyFont="1" applyBorder="1" applyAlignment="1" applyProtection="1">
      <alignment horizontal="center" vertical="center"/>
      <protection locked="0"/>
    </xf>
    <xf numFmtId="6" fontId="34" fillId="0" borderId="0" xfId="0" applyNumberFormat="1" applyFont="1" applyAlignment="1" applyProtection="1">
      <alignment vertical="center"/>
      <protection locked="0"/>
    </xf>
    <xf numFmtId="6" fontId="44" fillId="0" borderId="0" xfId="0" applyNumberFormat="1" applyFont="1" applyAlignment="1" applyProtection="1">
      <alignment horizontal="right" vertical="center"/>
      <protection locked="0"/>
    </xf>
    <xf numFmtId="6" fontId="43" fillId="0" borderId="0" xfId="0" applyNumberFormat="1" applyFont="1" applyAlignment="1" applyProtection="1">
      <alignment horizontal="center" vertical="center"/>
      <protection locked="0"/>
    </xf>
    <xf numFmtId="6" fontId="34" fillId="0" borderId="15" xfId="0" applyNumberFormat="1" applyFont="1" applyBorder="1" applyAlignment="1" applyProtection="1">
      <alignment vertical="center"/>
      <protection locked="0"/>
    </xf>
    <xf numFmtId="6" fontId="44" fillId="0" borderId="17" xfId="0" applyNumberFormat="1" applyFont="1" applyBorder="1" applyAlignment="1" applyProtection="1">
      <alignment horizontal="right" vertical="center"/>
      <protection locked="0"/>
    </xf>
    <xf numFmtId="6" fontId="43" fillId="0" borderId="17" xfId="0" applyNumberFormat="1" applyFont="1" applyBorder="1" applyAlignment="1" applyProtection="1">
      <alignment horizontal="center" vertical="center"/>
      <protection locked="0"/>
    </xf>
    <xf numFmtId="6" fontId="43" fillId="0" borderId="16" xfId="0" applyNumberFormat="1" applyFont="1" applyBorder="1" applyAlignment="1" applyProtection="1">
      <alignment horizontal="center" vertical="center"/>
      <protection locked="0"/>
    </xf>
    <xf numFmtId="6" fontId="34" fillId="0" borderId="5" xfId="0" applyNumberFormat="1" applyFont="1" applyBorder="1" applyAlignment="1" applyProtection="1">
      <alignment vertical="center"/>
      <protection locked="0"/>
    </xf>
    <xf numFmtId="6" fontId="43" fillId="0" borderId="6" xfId="0" applyNumberFormat="1" applyFont="1" applyBorder="1" applyAlignment="1" applyProtection="1">
      <alignment horizontal="center" vertical="center"/>
      <protection locked="0"/>
    </xf>
    <xf numFmtId="6" fontId="26" fillId="0" borderId="0" xfId="0" applyNumberFormat="1" applyFont="1" applyAlignment="1" applyProtection="1">
      <alignment horizontal="center" vertical="center"/>
      <protection locked="0"/>
    </xf>
    <xf numFmtId="6" fontId="3" fillId="0" borderId="6" xfId="0" applyNumberFormat="1" applyFont="1" applyBorder="1" applyAlignment="1" applyProtection="1">
      <alignment vertical="center"/>
      <protection locked="0"/>
    </xf>
    <xf numFmtId="6" fontId="4" fillId="0" borderId="5" xfId="0" applyNumberFormat="1" applyFont="1" applyBorder="1" applyAlignment="1" applyProtection="1">
      <alignment horizontal="center" vertical="center"/>
      <protection locked="0"/>
    </xf>
    <xf numFmtId="6" fontId="45" fillId="0" borderId="5" xfId="0" applyNumberFormat="1" applyFont="1" applyBorder="1" applyAlignment="1" applyProtection="1">
      <alignment horizontal="center" vertical="center"/>
      <protection locked="0"/>
    </xf>
    <xf numFmtId="6" fontId="46" fillId="0" borderId="0" xfId="0" applyNumberFormat="1" applyFont="1" applyAlignment="1" applyProtection="1">
      <alignment horizontal="left" vertical="center"/>
      <protection locked="0"/>
    </xf>
    <xf numFmtId="9" fontId="45" fillId="0" borderId="5" xfId="2" applyFont="1" applyBorder="1" applyAlignment="1" applyProtection="1">
      <alignment horizontal="center" vertical="center"/>
      <protection locked="0"/>
    </xf>
    <xf numFmtId="6" fontId="45" fillId="0" borderId="0" xfId="0" applyNumberFormat="1" applyFont="1" applyAlignment="1" applyProtection="1">
      <alignment vertical="center"/>
      <protection locked="0"/>
    </xf>
    <xf numFmtId="169" fontId="45" fillId="0" borderId="5" xfId="2" applyNumberFormat="1" applyFont="1" applyBorder="1" applyAlignment="1" applyProtection="1">
      <alignment horizontal="center" vertical="center"/>
      <protection locked="0"/>
    </xf>
    <xf numFmtId="6" fontId="3" fillId="0" borderId="0" xfId="0" applyNumberFormat="1" applyFont="1" applyAlignment="1" applyProtection="1">
      <alignment horizontal="center" vertical="center"/>
      <protection locked="0"/>
    </xf>
    <xf numFmtId="6" fontId="4" fillId="0" borderId="0" xfId="0" applyNumberFormat="1" applyFont="1" applyAlignment="1" applyProtection="1">
      <alignment horizontal="right" vertical="center"/>
      <protection locked="0"/>
    </xf>
    <xf numFmtId="6" fontId="0" fillId="0" borderId="18" xfId="0" applyNumberFormat="1" applyBorder="1" applyAlignment="1" applyProtection="1">
      <alignment vertical="center"/>
      <protection locked="0"/>
    </xf>
    <xf numFmtId="6" fontId="0" fillId="0" borderId="20" xfId="0" applyNumberFormat="1" applyBorder="1" applyAlignment="1" applyProtection="1">
      <alignment vertical="center"/>
      <protection locked="0"/>
    </xf>
    <xf numFmtId="6" fontId="0" fillId="0" borderId="20" xfId="0" applyNumberFormat="1" applyBorder="1" applyAlignment="1" applyProtection="1">
      <alignment horizontal="center" vertical="center"/>
      <protection locked="0"/>
    </xf>
    <xf numFmtId="6" fontId="0" fillId="0" borderId="19" xfId="0" applyNumberFormat="1" applyBorder="1" applyAlignment="1" applyProtection="1">
      <alignment vertical="center"/>
      <protection locked="0"/>
    </xf>
    <xf numFmtId="44" fontId="0" fillId="0" borderId="0" xfId="1" applyFont="1" applyProtection="1">
      <protection locked="0"/>
    </xf>
    <xf numFmtId="14" fontId="0" fillId="0" borderId="0" xfId="1" quotePrefix="1" applyNumberFormat="1" applyFont="1"/>
    <xf numFmtId="6" fontId="26" fillId="0" borderId="29" xfId="0" applyNumberFormat="1" applyFont="1" applyBorder="1" applyAlignment="1" applyProtection="1">
      <alignment vertical="center"/>
      <protection locked="0"/>
    </xf>
    <xf numFmtId="6" fontId="3" fillId="0" borderId="44" xfId="0" applyNumberFormat="1" applyFont="1" applyBorder="1" applyAlignment="1">
      <alignment vertical="center"/>
    </xf>
    <xf numFmtId="0" fontId="22" fillId="0" borderId="0" xfId="0" applyFont="1" applyAlignment="1">
      <alignment vertical="top" wrapText="1"/>
    </xf>
    <xf numFmtId="0" fontId="0" fillId="0" borderId="0" xfId="0" applyAlignment="1">
      <alignment vertical="top" wrapText="1"/>
    </xf>
    <xf numFmtId="0" fontId="0" fillId="0" borderId="0" xfId="0" applyAlignment="1">
      <alignment vertical="top"/>
    </xf>
    <xf numFmtId="0" fontId="0" fillId="0" borderId="5" xfId="0" quotePrefix="1" applyBorder="1" applyAlignment="1">
      <alignment horizontal="right"/>
    </xf>
    <xf numFmtId="3" fontId="0" fillId="0" borderId="0" xfId="0" applyNumberFormat="1" applyProtection="1">
      <protection locked="0"/>
    </xf>
    <xf numFmtId="0" fontId="0" fillId="0" borderId="0" xfId="0" applyAlignment="1">
      <alignment horizontal="left" wrapText="1"/>
    </xf>
    <xf numFmtId="2" fontId="3" fillId="0" borderId="0" xfId="3" applyNumberFormat="1" applyBorder="1"/>
    <xf numFmtId="0" fontId="0" fillId="9" borderId="0" xfId="0" applyFill="1"/>
    <xf numFmtId="0" fontId="0" fillId="9" borderId="0" xfId="0" applyFill="1" applyAlignment="1">
      <alignment wrapText="1"/>
    </xf>
    <xf numFmtId="0" fontId="0" fillId="9" borderId="1" xfId="0" applyFill="1" applyBorder="1" applyAlignment="1">
      <alignment horizontal="right"/>
    </xf>
    <xf numFmtId="0" fontId="0" fillId="9" borderId="1" xfId="0" applyFill="1" applyBorder="1" applyAlignment="1">
      <alignment horizontal="right" textRotation="90"/>
    </xf>
    <xf numFmtId="0" fontId="64" fillId="9" borderId="1" xfId="0" applyFont="1" applyFill="1" applyBorder="1" applyAlignment="1">
      <alignment horizontal="right"/>
    </xf>
    <xf numFmtId="1" fontId="0" fillId="9" borderId="0" xfId="0" applyNumberFormat="1" applyFill="1"/>
    <xf numFmtId="165" fontId="0" fillId="0" borderId="0" xfId="1" applyNumberFormat="1" applyFont="1" applyFill="1" applyBorder="1" applyProtection="1"/>
    <xf numFmtId="165" fontId="0" fillId="0" borderId="6" xfId="1" applyNumberFormat="1" applyFont="1" applyFill="1" applyBorder="1" applyProtection="1"/>
    <xf numFmtId="0" fontId="0" fillId="0" borderId="0" xfId="0" applyAlignment="1">
      <alignment vertical="center" wrapText="1"/>
    </xf>
    <xf numFmtId="0" fontId="48" fillId="0" borderId="0" xfId="0" applyFont="1" applyAlignment="1">
      <alignment vertical="center"/>
    </xf>
    <xf numFmtId="165" fontId="0" fillId="0" borderId="25" xfId="1" applyNumberFormat="1" applyFont="1" applyBorder="1" applyProtection="1"/>
    <xf numFmtId="165" fontId="0" fillId="0" borderId="32" xfId="1" applyNumberFormat="1" applyFont="1" applyBorder="1" applyProtection="1"/>
    <xf numFmtId="0" fontId="0" fillId="17" borderId="0" xfId="0" applyFill="1"/>
    <xf numFmtId="6" fontId="36" fillId="0" borderId="0" xfId="0" applyNumberFormat="1" applyFont="1" applyAlignment="1" applyProtection="1">
      <alignment vertical="center"/>
      <protection locked="0"/>
    </xf>
    <xf numFmtId="6" fontId="37" fillId="0" borderId="0" xfId="0" applyNumberFormat="1" applyFont="1" applyAlignment="1" applyProtection="1">
      <alignment vertical="center"/>
      <protection locked="0"/>
    </xf>
    <xf numFmtId="6" fontId="0" fillId="0" borderId="0" xfId="0" applyNumberFormat="1" applyAlignment="1" applyProtection="1">
      <alignment horizontal="center" vertical="center" wrapText="1"/>
      <protection locked="0"/>
    </xf>
    <xf numFmtId="6" fontId="36" fillId="0" borderId="0" xfId="0" applyNumberFormat="1" applyFont="1" applyAlignment="1" applyProtection="1">
      <alignment vertical="center" wrapText="1"/>
      <protection locked="0"/>
    </xf>
    <xf numFmtId="6" fontId="37" fillId="0" borderId="0" xfId="0" applyNumberFormat="1" applyFont="1" applyAlignment="1" applyProtection="1">
      <alignment vertical="center" wrapText="1"/>
      <protection locked="0"/>
    </xf>
    <xf numFmtId="6" fontId="35" fillId="0" borderId="3" xfId="0" applyNumberFormat="1" applyFont="1" applyBorder="1" applyAlignment="1" applyProtection="1">
      <alignment horizontal="center" vertical="center"/>
      <protection locked="0"/>
    </xf>
    <xf numFmtId="6" fontId="35" fillId="0" borderId="1" xfId="0" applyNumberFormat="1" applyFont="1" applyBorder="1" applyAlignment="1" applyProtection="1">
      <alignment vertical="center"/>
      <protection locked="0"/>
    </xf>
    <xf numFmtId="6" fontId="35" fillId="0" borderId="14" xfId="0" applyNumberFormat="1" applyFont="1" applyBorder="1" applyAlignment="1" applyProtection="1">
      <alignment vertical="center"/>
      <protection locked="0"/>
    </xf>
    <xf numFmtId="0" fontId="0" fillId="0" borderId="0" xfId="0" applyAlignment="1" applyProtection="1">
      <alignment vertical="center"/>
      <protection locked="0"/>
    </xf>
    <xf numFmtId="0" fontId="3" fillId="0" borderId="0" xfId="0" applyFont="1" applyAlignment="1" applyProtection="1">
      <alignment vertical="center"/>
      <protection locked="0"/>
    </xf>
    <xf numFmtId="0" fontId="3" fillId="0" borderId="0" xfId="0" applyFont="1" applyAlignment="1" applyProtection="1">
      <alignment horizontal="center" vertical="center"/>
      <protection locked="0"/>
    </xf>
    <xf numFmtId="6" fontId="11" fillId="2" borderId="3" xfId="0" applyNumberFormat="1" applyFont="1" applyFill="1" applyBorder="1" applyAlignment="1" applyProtection="1">
      <alignment horizontal="center" vertical="center"/>
      <protection locked="0"/>
    </xf>
    <xf numFmtId="6" fontId="3" fillId="2" borderId="0" xfId="0" applyNumberFormat="1" applyFont="1" applyFill="1" applyAlignment="1" applyProtection="1">
      <alignment vertical="center"/>
      <protection locked="0"/>
    </xf>
    <xf numFmtId="6" fontId="2" fillId="0" borderId="0" xfId="0" applyNumberFormat="1" applyFont="1" applyAlignment="1" applyProtection="1">
      <alignment vertical="center"/>
      <protection locked="0"/>
    </xf>
    <xf numFmtId="0" fontId="20" fillId="0" borderId="0" xfId="3" applyFont="1" applyBorder="1"/>
    <xf numFmtId="0" fontId="3" fillId="0" borderId="18" xfId="0" applyFont="1" applyBorder="1" applyAlignment="1">
      <alignment vertical="center"/>
    </xf>
    <xf numFmtId="6" fontId="11" fillId="0" borderId="0" xfId="0" applyNumberFormat="1" applyFont="1" applyAlignment="1" applyProtection="1">
      <alignment horizontal="center" vertical="center"/>
      <protection locked="0"/>
    </xf>
    <xf numFmtId="6" fontId="0" fillId="18" borderId="0" xfId="0" applyNumberFormat="1" applyFill="1" applyAlignment="1" applyProtection="1">
      <alignment vertical="center"/>
      <protection locked="0"/>
    </xf>
    <xf numFmtId="0" fontId="66" fillId="0" borderId="15" xfId="5" applyFont="1" applyBorder="1"/>
    <xf numFmtId="0" fontId="67" fillId="0" borderId="17" xfId="5" applyFont="1" applyBorder="1"/>
    <xf numFmtId="0" fontId="67" fillId="0" borderId="5" xfId="5" applyFont="1" applyBorder="1"/>
    <xf numFmtId="0" fontId="67" fillId="0" borderId="0" xfId="5" applyFont="1"/>
    <xf numFmtId="168" fontId="67" fillId="0" borderId="0" xfId="6" applyFont="1" applyBorder="1"/>
    <xf numFmtId="2" fontId="67" fillId="0" borderId="0" xfId="5" applyNumberFormat="1" applyFont="1"/>
    <xf numFmtId="0" fontId="66" fillId="0" borderId="5" xfId="5" applyFont="1" applyBorder="1"/>
    <xf numFmtId="168" fontId="66" fillId="0" borderId="0" xfId="6" applyFont="1" applyBorder="1"/>
    <xf numFmtId="0" fontId="66" fillId="0" borderId="0" xfId="5" applyFont="1"/>
    <xf numFmtId="168" fontId="66" fillId="0" borderId="6" xfId="6" applyFont="1" applyBorder="1"/>
    <xf numFmtId="0" fontId="67" fillId="0" borderId="18" xfId="5" applyFont="1" applyBorder="1"/>
    <xf numFmtId="0" fontId="67" fillId="0" borderId="20" xfId="5" applyFont="1" applyBorder="1"/>
    <xf numFmtId="168" fontId="66" fillId="13" borderId="20" xfId="6" applyFont="1" applyFill="1" applyBorder="1"/>
    <xf numFmtId="168" fontId="66" fillId="13" borderId="19" xfId="5" applyNumberFormat="1" applyFont="1" applyFill="1" applyBorder="1"/>
    <xf numFmtId="168" fontId="68" fillId="0" borderId="17" xfId="6" applyFont="1" applyBorder="1"/>
    <xf numFmtId="168" fontId="68" fillId="0" borderId="16" xfId="6" applyFont="1" applyBorder="1"/>
    <xf numFmtId="168" fontId="68" fillId="0" borderId="0" xfId="6" applyFont="1" applyBorder="1"/>
    <xf numFmtId="168" fontId="68" fillId="0" borderId="6" xfId="6" applyFont="1" applyBorder="1"/>
    <xf numFmtId="168" fontId="68" fillId="0" borderId="20" xfId="6" applyFont="1" applyBorder="1"/>
    <xf numFmtId="0" fontId="67" fillId="0" borderId="5" xfId="5" applyFont="1" applyBorder="1" applyAlignment="1">
      <alignment horizontal="left"/>
    </xf>
    <xf numFmtId="0" fontId="67" fillId="0" borderId="6" xfId="5" applyFont="1" applyBorder="1"/>
    <xf numFmtId="44" fontId="67" fillId="0" borderId="0" xfId="5" applyNumberFormat="1" applyFont="1"/>
    <xf numFmtId="44" fontId="68" fillId="0" borderId="0" xfId="6" applyNumberFormat="1" applyFont="1" applyBorder="1"/>
    <xf numFmtId="44" fontId="66" fillId="0" borderId="0" xfId="6" applyNumberFormat="1" applyFont="1" applyBorder="1"/>
    <xf numFmtId="168" fontId="69" fillId="0" borderId="0" xfId="6" applyFont="1" applyBorder="1"/>
    <xf numFmtId="44" fontId="3" fillId="0" borderId="0" xfId="5" applyNumberFormat="1"/>
    <xf numFmtId="2" fontId="3" fillId="0" borderId="0" xfId="0" applyNumberFormat="1" applyFont="1" applyAlignment="1" applyProtection="1">
      <alignment vertical="center"/>
      <protection locked="0"/>
    </xf>
    <xf numFmtId="2" fontId="3" fillId="0" borderId="0" xfId="0" applyNumberFormat="1" applyFont="1" applyAlignment="1">
      <alignment vertical="center"/>
    </xf>
    <xf numFmtId="2" fontId="0" fillId="0" borderId="0" xfId="0" applyNumberFormat="1" applyAlignment="1">
      <alignment vertical="center"/>
    </xf>
    <xf numFmtId="6" fontId="0" fillId="13" borderId="0" xfId="0" applyNumberFormat="1" applyFill="1" applyAlignment="1" applyProtection="1">
      <alignment vertical="center"/>
      <protection locked="0"/>
    </xf>
    <xf numFmtId="6" fontId="0" fillId="13" borderId="0" xfId="0" applyNumberFormat="1" applyFill="1" applyAlignment="1" applyProtection="1">
      <alignment vertical="center" wrapText="1"/>
      <protection locked="0"/>
    </xf>
    <xf numFmtId="0" fontId="70" fillId="0" borderId="0" xfId="0" applyFont="1" applyAlignment="1">
      <alignment wrapText="1"/>
    </xf>
    <xf numFmtId="166" fontId="0" fillId="0" borderId="0" xfId="0" applyNumberFormat="1"/>
    <xf numFmtId="0" fontId="0" fillId="0" borderId="60" xfId="0" applyBorder="1"/>
    <xf numFmtId="0" fontId="0" fillId="0" borderId="61" xfId="0" applyBorder="1"/>
    <xf numFmtId="0" fontId="71" fillId="0" borderId="0" xfId="0" applyFont="1"/>
    <xf numFmtId="0" fontId="72" fillId="0" borderId="0" xfId="0" applyFont="1"/>
    <xf numFmtId="0" fontId="0" fillId="0" borderId="62" xfId="0" applyBorder="1"/>
    <xf numFmtId="0" fontId="71" fillId="0" borderId="63" xfId="0" applyFont="1" applyBorder="1"/>
    <xf numFmtId="0" fontId="72" fillId="0" borderId="60" xfId="0" applyFont="1" applyBorder="1"/>
    <xf numFmtId="0" fontId="0" fillId="0" borderId="64" xfId="0" applyBorder="1"/>
    <xf numFmtId="0" fontId="73" fillId="0" borderId="0" xfId="0" applyFont="1" applyAlignment="1">
      <alignment wrapText="1"/>
    </xf>
    <xf numFmtId="0" fontId="74" fillId="0" borderId="0" xfId="0" applyFont="1"/>
    <xf numFmtId="0" fontId="75" fillId="0" borderId="0" xfId="0" applyFont="1"/>
    <xf numFmtId="0" fontId="0" fillId="0" borderId="65" xfId="0" applyBorder="1"/>
    <xf numFmtId="0" fontId="0" fillId="11" borderId="0" xfId="0" applyFill="1"/>
    <xf numFmtId="166" fontId="2" fillId="17" borderId="0" xfId="0" applyNumberFormat="1" applyFont="1" applyFill="1"/>
    <xf numFmtId="166" fontId="0" fillId="0" borderId="0" xfId="0" applyNumberFormat="1" applyAlignment="1">
      <alignment horizontal="right"/>
    </xf>
    <xf numFmtId="6" fontId="22" fillId="0" borderId="0" xfId="0" applyNumberFormat="1" applyFont="1" applyAlignment="1" applyProtection="1">
      <alignment vertical="center"/>
      <protection locked="0"/>
    </xf>
    <xf numFmtId="6" fontId="77" fillId="0" borderId="3" xfId="0" applyNumberFormat="1" applyFont="1" applyBorder="1" applyAlignment="1" applyProtection="1">
      <alignment horizontal="center" vertical="center"/>
      <protection locked="0"/>
    </xf>
    <xf numFmtId="6" fontId="77" fillId="0" borderId="1" xfId="0" applyNumberFormat="1" applyFont="1" applyBorder="1" applyAlignment="1" applyProtection="1">
      <alignment vertical="center"/>
      <protection locked="0"/>
    </xf>
    <xf numFmtId="6" fontId="77" fillId="0" borderId="14" xfId="0" applyNumberFormat="1" applyFont="1" applyBorder="1" applyAlignment="1" applyProtection="1">
      <alignment vertical="center"/>
      <protection locked="0"/>
    </xf>
    <xf numFmtId="6" fontId="22" fillId="18" borderId="0" xfId="0" applyNumberFormat="1" applyFont="1" applyFill="1" applyAlignment="1" applyProtection="1">
      <alignment vertical="center"/>
      <protection locked="0"/>
    </xf>
    <xf numFmtId="6" fontId="22" fillId="19" borderId="0" xfId="0" applyNumberFormat="1" applyFont="1" applyFill="1" applyAlignment="1" applyProtection="1">
      <alignment vertical="center"/>
      <protection locked="0"/>
    </xf>
    <xf numFmtId="6" fontId="78" fillId="0" borderId="0" xfId="7" applyNumberFormat="1" applyFont="1" applyAlignment="1" applyProtection="1">
      <alignment vertical="center"/>
      <protection locked="0"/>
    </xf>
    <xf numFmtId="6" fontId="76" fillId="0" borderId="0" xfId="0" applyNumberFormat="1" applyFont="1" applyAlignment="1" applyProtection="1">
      <alignment vertical="center"/>
      <protection locked="0"/>
    </xf>
    <xf numFmtId="6" fontId="3" fillId="0" borderId="0" xfId="5" applyNumberFormat="1"/>
    <xf numFmtId="8" fontId="3" fillId="0" borderId="0" xfId="5" applyNumberFormat="1"/>
    <xf numFmtId="6" fontId="80" fillId="0" borderId="3" xfId="0" applyNumberFormat="1" applyFont="1" applyBorder="1" applyAlignment="1" applyProtection="1">
      <alignment horizontal="center" vertical="center"/>
      <protection locked="0"/>
    </xf>
    <xf numFmtId="6" fontId="80" fillId="0" borderId="1" xfId="0" applyNumberFormat="1" applyFont="1" applyBorder="1" applyAlignment="1" applyProtection="1">
      <alignment vertical="center"/>
      <protection locked="0"/>
    </xf>
    <xf numFmtId="6" fontId="80" fillId="0" borderId="14" xfId="0" applyNumberFormat="1" applyFont="1" applyBorder="1" applyAlignment="1" applyProtection="1">
      <alignment vertical="center"/>
      <protection locked="0"/>
    </xf>
    <xf numFmtId="6" fontId="11" fillId="2" borderId="1" xfId="0" applyNumberFormat="1" applyFont="1" applyFill="1" applyBorder="1" applyAlignment="1" applyProtection="1">
      <alignment vertical="center"/>
      <protection locked="0"/>
    </xf>
    <xf numFmtId="6" fontId="11" fillId="0" borderId="3" xfId="0" applyNumberFormat="1" applyFont="1" applyBorder="1" applyAlignment="1" applyProtection="1">
      <alignment horizontal="right" vertical="center"/>
      <protection locked="0"/>
    </xf>
    <xf numFmtId="6" fontId="0" fillId="11" borderId="0" xfId="0" applyNumberFormat="1" applyFill="1" applyAlignment="1" applyProtection="1">
      <alignment vertical="center"/>
      <protection locked="0"/>
    </xf>
    <xf numFmtId="6" fontId="11" fillId="0" borderId="1" xfId="0" applyNumberFormat="1" applyFont="1" applyBorder="1" applyAlignment="1" applyProtection="1">
      <alignment horizontal="right" vertical="center"/>
      <protection locked="0"/>
    </xf>
    <xf numFmtId="6" fontId="77" fillId="0" borderId="1" xfId="0" applyNumberFormat="1" applyFont="1" applyBorder="1" applyAlignment="1" applyProtection="1">
      <alignment horizontal="right" vertical="center"/>
      <protection locked="0"/>
    </xf>
    <xf numFmtId="6" fontId="81" fillId="0" borderId="1" xfId="0" applyNumberFormat="1" applyFont="1" applyBorder="1" applyAlignment="1" applyProtection="1">
      <alignment vertical="center"/>
      <protection locked="0"/>
    </xf>
    <xf numFmtId="8" fontId="3" fillId="0" borderId="39" xfId="5" applyNumberFormat="1" applyBorder="1"/>
    <xf numFmtId="0" fontId="3" fillId="0" borderId="33" xfId="5" applyBorder="1"/>
    <xf numFmtId="0" fontId="22" fillId="0" borderId="0" xfId="0" applyFont="1" applyAlignment="1" applyProtection="1">
      <alignment vertical="center"/>
      <protection locked="0"/>
    </xf>
    <xf numFmtId="0" fontId="3" fillId="0" borderId="33" xfId="0" applyFont="1" applyBorder="1" applyAlignment="1" applyProtection="1">
      <alignment vertical="center"/>
      <protection locked="0"/>
    </xf>
    <xf numFmtId="6" fontId="0" fillId="20" borderId="0" xfId="0" applyNumberFormat="1" applyFill="1" applyAlignment="1" applyProtection="1">
      <alignment vertical="center"/>
      <protection locked="0"/>
    </xf>
    <xf numFmtId="6" fontId="22" fillId="2" borderId="0" xfId="0" applyNumberFormat="1" applyFont="1" applyFill="1" applyAlignment="1" applyProtection="1">
      <alignment vertical="center"/>
      <protection locked="0"/>
    </xf>
    <xf numFmtId="6" fontId="77" fillId="2" borderId="1" xfId="0" applyNumberFormat="1" applyFont="1" applyFill="1" applyBorder="1" applyAlignment="1" applyProtection="1">
      <alignment vertical="center"/>
      <protection locked="0"/>
    </xf>
    <xf numFmtId="6" fontId="77" fillId="9" borderId="1" xfId="0" applyNumberFormat="1" applyFont="1" applyFill="1" applyBorder="1" applyAlignment="1" applyProtection="1">
      <alignment vertical="center"/>
      <protection locked="0"/>
    </xf>
    <xf numFmtId="6" fontId="3" fillId="20" borderId="0" xfId="0" applyNumberFormat="1" applyFont="1" applyFill="1" applyAlignment="1" applyProtection="1">
      <alignment vertical="center"/>
      <protection locked="0"/>
    </xf>
    <xf numFmtId="6" fontId="22" fillId="9" borderId="0" xfId="0" applyNumberFormat="1" applyFont="1" applyFill="1" applyAlignment="1" applyProtection="1">
      <alignment vertical="center"/>
      <protection locked="0"/>
    </xf>
    <xf numFmtId="6" fontId="22" fillId="20" borderId="0" xfId="0" applyNumberFormat="1" applyFont="1" applyFill="1" applyAlignment="1" applyProtection="1">
      <alignment vertical="center"/>
      <protection locked="0"/>
    </xf>
    <xf numFmtId="6" fontId="77" fillId="9" borderId="3" xfId="0" applyNumberFormat="1" applyFont="1" applyFill="1" applyBorder="1" applyAlignment="1" applyProtection="1">
      <alignment horizontal="center" vertical="center"/>
      <protection locked="0"/>
    </xf>
    <xf numFmtId="6" fontId="77" fillId="9" borderId="14" xfId="0" applyNumberFormat="1" applyFont="1" applyFill="1" applyBorder="1" applyAlignment="1" applyProtection="1">
      <alignment vertical="center"/>
      <protection locked="0"/>
    </xf>
    <xf numFmtId="6" fontId="0" fillId="19" borderId="0" xfId="0" applyNumberFormat="1" applyFill="1" applyAlignment="1" applyProtection="1">
      <alignment vertical="center"/>
      <protection locked="0"/>
    </xf>
    <xf numFmtId="2" fontId="0" fillId="0" borderId="0" xfId="6" applyNumberFormat="1" applyFont="1" applyBorder="1"/>
    <xf numFmtId="2" fontId="4" fillId="0" borderId="0" xfId="6" applyNumberFormat="1" applyFont="1" applyBorder="1"/>
    <xf numFmtId="2" fontId="4" fillId="0" borderId="0" xfId="5" applyNumberFormat="1" applyFont="1"/>
    <xf numFmtId="166" fontId="0" fillId="0" borderId="0" xfId="6" applyNumberFormat="1" applyFont="1" applyBorder="1"/>
    <xf numFmtId="166" fontId="4" fillId="0" borderId="0" xfId="6" applyNumberFormat="1" applyFont="1" applyBorder="1"/>
    <xf numFmtId="6" fontId="11" fillId="9" borderId="3" xfId="0" applyNumberFormat="1" applyFont="1" applyFill="1" applyBorder="1" applyAlignment="1" applyProtection="1">
      <alignment horizontal="center" vertical="center"/>
      <protection locked="0"/>
    </xf>
    <xf numFmtId="6" fontId="11" fillId="9" borderId="1" xfId="0" applyNumberFormat="1" applyFont="1" applyFill="1" applyBorder="1" applyAlignment="1" applyProtection="1">
      <alignment vertical="center"/>
      <protection locked="0"/>
    </xf>
    <xf numFmtId="6" fontId="76" fillId="0" borderId="13" xfId="0" applyNumberFormat="1" applyFont="1" applyBorder="1" applyAlignment="1" applyProtection="1">
      <alignment horizontal="left" vertical="distributed"/>
      <protection locked="0"/>
    </xf>
    <xf numFmtId="6" fontId="76" fillId="0" borderId="3" xfId="0" applyNumberFormat="1" applyFont="1" applyBorder="1" applyAlignment="1" applyProtection="1">
      <alignment horizontal="left" vertical="distributed"/>
      <protection locked="0"/>
    </xf>
    <xf numFmtId="6" fontId="3" fillId="0" borderId="13" xfId="0" applyNumberFormat="1" applyFont="1" applyBorder="1" applyAlignment="1" applyProtection="1">
      <alignment vertical="distributed"/>
      <protection locked="0"/>
    </xf>
    <xf numFmtId="6" fontId="3" fillId="0" borderId="3" xfId="0" applyNumberFormat="1" applyFont="1" applyBorder="1" applyAlignment="1" applyProtection="1">
      <alignment vertical="distributed"/>
      <protection locked="0"/>
    </xf>
    <xf numFmtId="6" fontId="79" fillId="0" borderId="13" xfId="0" applyNumberFormat="1" applyFont="1" applyBorder="1" applyAlignment="1" applyProtection="1">
      <alignment vertical="distributed"/>
      <protection locked="0"/>
    </xf>
    <xf numFmtId="6" fontId="79" fillId="0" borderId="3" xfId="0" applyNumberFormat="1" applyFont="1" applyBorder="1" applyAlignment="1" applyProtection="1">
      <alignment vertical="distributed"/>
      <protection locked="0"/>
    </xf>
    <xf numFmtId="6" fontId="76" fillId="0" borderId="13" xfId="0" applyNumberFormat="1" applyFont="1" applyBorder="1" applyAlignment="1" applyProtection="1">
      <alignment vertical="distributed"/>
      <protection locked="0"/>
    </xf>
    <xf numFmtId="6" fontId="76" fillId="0" borderId="3" xfId="0" applyNumberFormat="1" applyFont="1" applyBorder="1" applyAlignment="1" applyProtection="1">
      <alignment vertical="distributed"/>
      <protection locked="0"/>
    </xf>
    <xf numFmtId="6" fontId="26" fillId="0" borderId="13" xfId="0" applyNumberFormat="1" applyFont="1" applyBorder="1" applyAlignment="1" applyProtection="1">
      <alignment horizontal="left" vertical="center"/>
      <protection locked="0"/>
    </xf>
    <xf numFmtId="6" fontId="26" fillId="0" borderId="33" xfId="0" applyNumberFormat="1" applyFont="1" applyBorder="1" applyAlignment="1" applyProtection="1">
      <alignment horizontal="left" vertical="center"/>
      <protection locked="0"/>
    </xf>
    <xf numFmtId="6" fontId="26" fillId="0" borderId="34" xfId="0" applyNumberFormat="1" applyFont="1" applyBorder="1" applyAlignment="1" applyProtection="1">
      <alignment horizontal="left" vertical="center"/>
      <protection locked="0"/>
    </xf>
    <xf numFmtId="6" fontId="22" fillId="0" borderId="3" xfId="0" applyNumberFormat="1" applyFont="1" applyBorder="1" applyAlignment="1" applyProtection="1">
      <alignment horizontal="left" vertical="distributed"/>
      <protection locked="0"/>
    </xf>
    <xf numFmtId="6" fontId="76" fillId="9" borderId="13" xfId="0" applyNumberFormat="1" applyFont="1" applyFill="1" applyBorder="1" applyAlignment="1" applyProtection="1">
      <alignment horizontal="left" vertical="distributed"/>
      <protection locked="0"/>
    </xf>
    <xf numFmtId="6" fontId="22" fillId="9" borderId="3" xfId="0" applyNumberFormat="1" applyFont="1" applyFill="1" applyBorder="1" applyAlignment="1" applyProtection="1">
      <alignment horizontal="left" vertical="distributed"/>
      <protection locked="0"/>
    </xf>
    <xf numFmtId="6" fontId="41" fillId="0" borderId="18" xfId="0" applyNumberFormat="1" applyFont="1" applyBorder="1" applyProtection="1">
      <protection locked="0"/>
    </xf>
    <xf numFmtId="6" fontId="41" fillId="0" borderId="20" xfId="0" applyNumberFormat="1" applyFont="1" applyBorder="1" applyProtection="1">
      <protection locked="0"/>
    </xf>
    <xf numFmtId="6" fontId="4" fillId="0" borderId="29" xfId="0" applyNumberFormat="1" applyFont="1" applyBorder="1" applyAlignment="1" applyProtection="1">
      <alignment vertical="center"/>
      <protection locked="0"/>
    </xf>
    <xf numFmtId="6" fontId="4" fillId="0" borderId="44" xfId="0" applyNumberFormat="1" applyFont="1" applyBorder="1" applyAlignment="1" applyProtection="1">
      <alignment vertical="center"/>
      <protection locked="0"/>
    </xf>
    <xf numFmtId="6" fontId="34" fillId="0" borderId="2" xfId="0" applyNumberFormat="1" applyFont="1" applyBorder="1" applyAlignment="1" applyProtection="1">
      <alignment horizontal="center" vertical="center"/>
      <protection locked="0"/>
    </xf>
    <xf numFmtId="6" fontId="34" fillId="0" borderId="33" xfId="0" applyNumberFormat="1" applyFont="1" applyBorder="1" applyAlignment="1" applyProtection="1">
      <alignment horizontal="center" vertical="center"/>
      <protection locked="0"/>
    </xf>
    <xf numFmtId="6" fontId="34" fillId="0" borderId="34" xfId="0" applyNumberFormat="1" applyFont="1" applyBorder="1" applyAlignment="1" applyProtection="1">
      <alignment horizontal="center" vertical="center"/>
      <protection locked="0"/>
    </xf>
    <xf numFmtId="6" fontId="3" fillId="0" borderId="5" xfId="0" applyNumberFormat="1" applyFont="1" applyBorder="1" applyAlignment="1" applyProtection="1">
      <alignment horizontal="left" vertical="distributed"/>
      <protection locked="0"/>
    </xf>
    <xf numFmtId="6" fontId="3" fillId="0" borderId="0" xfId="0" applyNumberFormat="1" applyFont="1" applyAlignment="1" applyProtection="1">
      <alignment horizontal="left" vertical="distributed"/>
      <protection locked="0"/>
    </xf>
    <xf numFmtId="6" fontId="3" fillId="0" borderId="6" xfId="0" applyNumberFormat="1" applyFont="1" applyBorder="1" applyAlignment="1" applyProtection="1">
      <alignment horizontal="left" vertical="distributed"/>
      <protection locked="0"/>
    </xf>
    <xf numFmtId="6" fontId="26" fillId="0" borderId="3" xfId="0" applyNumberFormat="1" applyFont="1" applyBorder="1" applyAlignment="1" applyProtection="1">
      <alignment horizontal="left" vertical="center"/>
      <protection locked="0"/>
    </xf>
    <xf numFmtId="6" fontId="3" fillId="0" borderId="29" xfId="0" applyNumberFormat="1" applyFont="1" applyBorder="1" applyAlignment="1" applyProtection="1">
      <alignment horizontal="left" vertical="distributed"/>
      <protection locked="0"/>
    </xf>
    <xf numFmtId="6" fontId="3" fillId="0" borderId="59" xfId="0" applyNumberFormat="1" applyFont="1" applyBorder="1" applyAlignment="1" applyProtection="1">
      <alignment horizontal="left" vertical="distributed"/>
      <protection locked="0"/>
    </xf>
    <xf numFmtId="6" fontId="3" fillId="0" borderId="27" xfId="0" applyNumberFormat="1" applyFont="1" applyBorder="1" applyAlignment="1" applyProtection="1">
      <alignment horizontal="left" vertical="distributed"/>
      <protection locked="0"/>
    </xf>
    <xf numFmtId="6" fontId="76" fillId="9" borderId="13" xfId="0" applyNumberFormat="1" applyFont="1" applyFill="1" applyBorder="1" applyAlignment="1" applyProtection="1">
      <alignment vertical="distributed"/>
      <protection locked="0"/>
    </xf>
    <xf numFmtId="6" fontId="76" fillId="9" borderId="3" xfId="0" applyNumberFormat="1" applyFont="1" applyFill="1" applyBorder="1" applyAlignment="1" applyProtection="1">
      <alignment vertical="distributed"/>
      <protection locked="0"/>
    </xf>
    <xf numFmtId="6" fontId="76" fillId="2" borderId="13" xfId="0" applyNumberFormat="1" applyFont="1" applyFill="1" applyBorder="1" applyAlignment="1" applyProtection="1">
      <alignment horizontal="left" vertical="distributed"/>
      <protection locked="0"/>
    </xf>
    <xf numFmtId="6" fontId="22" fillId="2" borderId="3" xfId="0" applyNumberFormat="1" applyFont="1" applyFill="1" applyBorder="1" applyAlignment="1" applyProtection="1">
      <alignment horizontal="left" vertical="distributed"/>
      <protection locked="0"/>
    </xf>
    <xf numFmtId="6" fontId="3" fillId="9" borderId="13" xfId="0" applyNumberFormat="1" applyFont="1" applyFill="1" applyBorder="1" applyAlignment="1" applyProtection="1">
      <alignment horizontal="left" vertical="distributed"/>
      <protection locked="0"/>
    </xf>
    <xf numFmtId="6" fontId="0" fillId="9" borderId="3" xfId="0" applyNumberFormat="1" applyFill="1" applyBorder="1" applyAlignment="1" applyProtection="1">
      <alignment horizontal="left" vertical="distributed"/>
      <protection locked="0"/>
    </xf>
    <xf numFmtId="6" fontId="3" fillId="0" borderId="13" xfId="0" applyNumberFormat="1" applyFont="1" applyBorder="1" applyAlignment="1" applyProtection="1">
      <alignment horizontal="left" vertical="distributed"/>
      <protection locked="0"/>
    </xf>
    <xf numFmtId="6" fontId="3" fillId="0" borderId="3" xfId="0" applyNumberFormat="1" applyFont="1" applyBorder="1" applyAlignment="1" applyProtection="1">
      <alignment horizontal="left" vertical="distributed"/>
      <protection locked="0"/>
    </xf>
    <xf numFmtId="6" fontId="38" fillId="0" borderId="13" xfId="0" applyNumberFormat="1" applyFont="1" applyBorder="1" applyAlignment="1" applyProtection="1">
      <alignment horizontal="left" vertical="center"/>
      <protection locked="0"/>
    </xf>
    <xf numFmtId="6" fontId="38" fillId="0" borderId="33" xfId="0" applyNumberFormat="1" applyFont="1" applyBorder="1" applyAlignment="1" applyProtection="1">
      <alignment horizontal="left" vertical="center"/>
      <protection locked="0"/>
    </xf>
    <xf numFmtId="6" fontId="38" fillId="0" borderId="34" xfId="0" applyNumberFormat="1" applyFont="1" applyBorder="1" applyAlignment="1" applyProtection="1">
      <alignment horizontal="left" vertical="center"/>
      <protection locked="0"/>
    </xf>
    <xf numFmtId="6" fontId="11" fillId="0" borderId="38" xfId="0" applyNumberFormat="1" applyFont="1" applyBorder="1" applyAlignment="1">
      <alignment horizontal="center" vertical="center"/>
    </xf>
    <xf numFmtId="6" fontId="11" fillId="0" borderId="4" xfId="0" applyNumberFormat="1" applyFont="1" applyBorder="1" applyAlignment="1">
      <alignment horizontal="center" vertical="center"/>
    </xf>
    <xf numFmtId="6" fontId="11" fillId="0" borderId="36" xfId="0" applyNumberFormat="1" applyFont="1" applyBorder="1" applyAlignment="1">
      <alignment horizontal="center" vertical="center"/>
    </xf>
    <xf numFmtId="6" fontId="34" fillId="0" borderId="0" xfId="0" applyNumberFormat="1" applyFont="1" applyAlignment="1" applyProtection="1">
      <alignment horizontal="left" vertical="center"/>
      <protection locked="0"/>
    </xf>
    <xf numFmtId="6" fontId="31" fillId="0" borderId="0" xfId="0" applyNumberFormat="1" applyFont="1" applyAlignment="1" applyProtection="1">
      <alignment horizontal="left" vertical="center"/>
      <protection locked="0"/>
    </xf>
    <xf numFmtId="6" fontId="4" fillId="2" borderId="42" xfId="0" applyNumberFormat="1" applyFont="1" applyFill="1" applyBorder="1" applyAlignment="1" applyProtection="1">
      <alignment horizontal="left" vertical="center"/>
      <protection locked="0"/>
    </xf>
    <xf numFmtId="6" fontId="4" fillId="2" borderId="31" xfId="0" applyNumberFormat="1" applyFont="1" applyFill="1" applyBorder="1" applyAlignment="1" applyProtection="1">
      <alignment horizontal="left" vertical="center"/>
      <protection locked="0"/>
    </xf>
    <xf numFmtId="6" fontId="4" fillId="2" borderId="32" xfId="0" applyNumberFormat="1" applyFont="1" applyFill="1" applyBorder="1" applyAlignment="1" applyProtection="1">
      <alignment horizontal="left" vertical="center"/>
      <protection locked="0"/>
    </xf>
    <xf numFmtId="6" fontId="4" fillId="0" borderId="33" xfId="0" applyNumberFormat="1" applyFont="1" applyBorder="1" applyAlignment="1" applyProtection="1">
      <alignment horizontal="left" vertical="center"/>
      <protection locked="0"/>
    </xf>
    <xf numFmtId="6" fontId="4" fillId="0" borderId="34" xfId="0" applyNumberFormat="1" applyFont="1" applyBorder="1" applyAlignment="1" applyProtection="1">
      <alignment horizontal="left" vertical="center"/>
      <protection locked="0"/>
    </xf>
    <xf numFmtId="6" fontId="11" fillId="0" borderId="2" xfId="0" applyNumberFormat="1" applyFont="1" applyBorder="1" applyAlignment="1">
      <alignment horizontal="center" vertical="center"/>
    </xf>
    <xf numFmtId="6" fontId="11" fillId="0" borderId="33" xfId="0" applyNumberFormat="1" applyFont="1" applyBorder="1" applyAlignment="1">
      <alignment horizontal="center" vertical="center"/>
    </xf>
    <xf numFmtId="6" fontId="11" fillId="0" borderId="34" xfId="0" applyNumberFormat="1" applyFont="1" applyBorder="1" applyAlignment="1">
      <alignment horizontal="center" vertical="center"/>
    </xf>
    <xf numFmtId="6" fontId="3" fillId="0" borderId="13" xfId="0" applyNumberFormat="1" applyFont="1" applyBorder="1" applyAlignment="1">
      <alignment vertical="distributed"/>
    </xf>
    <xf numFmtId="6" fontId="0" fillId="0" borderId="3" xfId="0" applyNumberFormat="1" applyBorder="1" applyAlignment="1">
      <alignment vertical="distributed"/>
    </xf>
    <xf numFmtId="6" fontId="3" fillId="0" borderId="35" xfId="0" applyNumberFormat="1" applyFont="1" applyBorder="1" applyAlignment="1">
      <alignment vertical="distributed"/>
    </xf>
    <xf numFmtId="6" fontId="0" fillId="0" borderId="37" xfId="0" applyNumberFormat="1" applyBorder="1" applyAlignment="1">
      <alignment vertical="distributed"/>
    </xf>
    <xf numFmtId="6" fontId="3" fillId="0" borderId="3" xfId="0" applyNumberFormat="1" applyFont="1" applyBorder="1" applyAlignment="1">
      <alignment vertical="distributed"/>
    </xf>
    <xf numFmtId="6" fontId="3" fillId="0" borderId="13" xfId="0" applyNumberFormat="1" applyFont="1" applyBorder="1" applyAlignment="1">
      <alignment horizontal="left" vertical="distributed"/>
    </xf>
    <xf numFmtId="6" fontId="0" fillId="0" borderId="3" xfId="0" applyNumberFormat="1" applyBorder="1" applyAlignment="1">
      <alignment horizontal="left" vertical="distributed"/>
    </xf>
    <xf numFmtId="6" fontId="3" fillId="0" borderId="3" xfId="0" applyNumberFormat="1" applyFont="1" applyBorder="1" applyAlignment="1">
      <alignment horizontal="left" vertical="distributed"/>
    </xf>
    <xf numFmtId="6" fontId="4" fillId="0" borderId="31" xfId="0" applyNumberFormat="1" applyFont="1" applyBorder="1" applyAlignment="1" applyProtection="1">
      <alignment horizontal="left" vertical="center"/>
      <protection locked="0"/>
    </xf>
    <xf numFmtId="6" fontId="4" fillId="0" borderId="32" xfId="0" applyNumberFormat="1" applyFont="1" applyBorder="1" applyAlignment="1" applyProtection="1">
      <alignment horizontal="left" vertical="center"/>
      <protection locked="0"/>
    </xf>
    <xf numFmtId="6" fontId="4" fillId="0" borderId="13" xfId="0" applyNumberFormat="1" applyFont="1" applyBorder="1" applyAlignment="1" applyProtection="1">
      <alignment horizontal="left" vertical="center"/>
      <protection locked="0"/>
    </xf>
    <xf numFmtId="6" fontId="4" fillId="0" borderId="4" xfId="0" applyNumberFormat="1" applyFont="1" applyBorder="1" applyAlignment="1" applyProtection="1">
      <alignment horizontal="left" vertical="center"/>
      <protection locked="0"/>
    </xf>
    <xf numFmtId="6" fontId="4" fillId="0" borderId="36" xfId="0" applyNumberFormat="1" applyFont="1" applyBorder="1" applyAlignment="1" applyProtection="1">
      <alignment horizontal="left" vertical="center"/>
      <protection locked="0"/>
    </xf>
    <xf numFmtId="6" fontId="26" fillId="0" borderId="30" xfId="0" applyNumberFormat="1" applyFont="1" applyBorder="1" applyAlignment="1">
      <alignment horizontal="center" vertical="center"/>
    </xf>
    <xf numFmtId="6" fontId="26" fillId="0" borderId="31" xfId="0" applyNumberFormat="1" applyFont="1" applyBorder="1" applyAlignment="1">
      <alignment horizontal="center" vertical="center"/>
    </xf>
    <xf numFmtId="6" fontId="26" fillId="0" borderId="32" xfId="0" applyNumberFormat="1" applyFont="1" applyBorder="1" applyAlignment="1">
      <alignment horizontal="center" vertical="center"/>
    </xf>
    <xf numFmtId="0" fontId="3" fillId="0" borderId="0" xfId="3" applyBorder="1" applyAlignment="1">
      <alignment horizontal="left"/>
    </xf>
    <xf numFmtId="0" fontId="5" fillId="0" borderId="0" xfId="0" applyFont="1" applyAlignment="1">
      <alignment horizontal="center" vertical="center"/>
    </xf>
    <xf numFmtId="14" fontId="8" fillId="0" borderId="0" xfId="0" applyNumberFormat="1" applyFont="1" applyAlignment="1">
      <alignment horizontal="right" vertical="center"/>
    </xf>
    <xf numFmtId="0" fontId="0" fillId="0" borderId="52" xfId="0" applyBorder="1" applyAlignment="1">
      <alignment horizontal="left"/>
    </xf>
    <xf numFmtId="0" fontId="0" fillId="0" borderId="53" xfId="0" applyBorder="1" applyAlignment="1">
      <alignment horizontal="left"/>
    </xf>
    <xf numFmtId="0" fontId="0" fillId="0" borderId="54" xfId="0" applyBorder="1" applyAlignment="1">
      <alignment horizontal="left"/>
    </xf>
    <xf numFmtId="0" fontId="0" fillId="0" borderId="14" xfId="0" applyBorder="1" applyAlignment="1">
      <alignment horizontal="left"/>
    </xf>
    <xf numFmtId="0" fontId="0" fillId="0" borderId="55" xfId="0" applyBorder="1" applyAlignment="1">
      <alignment horizontal="left"/>
    </xf>
    <xf numFmtId="0" fontId="0" fillId="0" borderId="56" xfId="0" applyBorder="1" applyAlignment="1">
      <alignment horizontal="left"/>
    </xf>
    <xf numFmtId="0" fontId="4" fillId="11" borderId="21" xfId="0" applyFont="1" applyFill="1" applyBorder="1" applyAlignment="1">
      <alignment horizontal="center" vertical="top"/>
    </xf>
    <xf numFmtId="0" fontId="4" fillId="11" borderId="57" xfId="0" applyFont="1" applyFill="1" applyBorder="1" applyAlignment="1">
      <alignment horizontal="center" vertical="top"/>
    </xf>
    <xf numFmtId="0" fontId="3" fillId="0" borderId="2" xfId="0" applyFont="1" applyBorder="1" applyAlignment="1">
      <alignment vertical="distributed"/>
    </xf>
    <xf numFmtId="0" fontId="0" fillId="0" borderId="3" xfId="0" applyBorder="1" applyAlignment="1">
      <alignment vertical="distributed"/>
    </xf>
    <xf numFmtId="6" fontId="4" fillId="0" borderId="29" xfId="0" applyNumberFormat="1" applyFont="1" applyBorder="1" applyAlignment="1">
      <alignment vertical="center"/>
    </xf>
    <xf numFmtId="6" fontId="4" fillId="0" borderId="44" xfId="0" applyNumberFormat="1" applyFont="1" applyBorder="1" applyAlignment="1">
      <alignment vertical="center"/>
    </xf>
    <xf numFmtId="6" fontId="34" fillId="0" borderId="2" xfId="0" applyNumberFormat="1" applyFont="1" applyBorder="1" applyAlignment="1">
      <alignment horizontal="center" vertical="center"/>
    </xf>
    <xf numFmtId="6" fontId="34" fillId="0" borderId="33" xfId="0" applyNumberFormat="1" applyFont="1" applyBorder="1" applyAlignment="1">
      <alignment horizontal="center" vertical="center"/>
    </xf>
    <xf numFmtId="6" fontId="34" fillId="0" borderId="34" xfId="0" applyNumberFormat="1" applyFont="1" applyBorder="1" applyAlignment="1">
      <alignment horizontal="center" vertical="center"/>
    </xf>
    <xf numFmtId="6" fontId="41" fillId="0" borderId="18" xfId="0" applyNumberFormat="1" applyFont="1" applyBorder="1"/>
    <xf numFmtId="6" fontId="0" fillId="0" borderId="20" xfId="0" applyNumberFormat="1" applyBorder="1"/>
    <xf numFmtId="0" fontId="3" fillId="0" borderId="2" xfId="0" applyFont="1" applyBorder="1" applyAlignment="1">
      <alignment horizontal="left" vertical="distributed"/>
    </xf>
    <xf numFmtId="0" fontId="0" fillId="0" borderId="3" xfId="0" applyBorder="1" applyAlignment="1">
      <alignment horizontal="left" vertical="distributed"/>
    </xf>
    <xf numFmtId="0" fontId="3" fillId="0" borderId="3" xfId="0" applyFont="1" applyBorder="1" applyAlignment="1">
      <alignment vertical="distributed"/>
    </xf>
    <xf numFmtId="6" fontId="26" fillId="0" borderId="13" xfId="0" applyNumberFormat="1" applyFont="1" applyBorder="1" applyAlignment="1">
      <alignment horizontal="left" vertical="center"/>
    </xf>
    <xf numFmtId="6" fontId="26" fillId="0" borderId="33" xfId="0" applyNumberFormat="1" applyFont="1" applyBorder="1" applyAlignment="1">
      <alignment horizontal="left" vertical="center"/>
    </xf>
    <xf numFmtId="6" fontId="26" fillId="0" borderId="34" xfId="0" applyNumberFormat="1" applyFont="1" applyBorder="1" applyAlignment="1">
      <alignment horizontal="left" vertical="center"/>
    </xf>
    <xf numFmtId="6" fontId="38" fillId="0" borderId="13" xfId="0" applyNumberFormat="1" applyFont="1" applyBorder="1" applyAlignment="1">
      <alignment horizontal="left" vertical="center"/>
    </xf>
    <xf numFmtId="6" fontId="38" fillId="0" borderId="33" xfId="0" applyNumberFormat="1" applyFont="1" applyBorder="1" applyAlignment="1">
      <alignment horizontal="left" vertical="center"/>
    </xf>
    <xf numFmtId="6" fontId="38" fillId="0" borderId="34" xfId="0" applyNumberFormat="1" applyFont="1" applyBorder="1" applyAlignment="1">
      <alignment horizontal="left" vertical="center"/>
    </xf>
    <xf numFmtId="6" fontId="4" fillId="0" borderId="13" xfId="0" applyNumberFormat="1" applyFont="1" applyBorder="1" applyAlignment="1">
      <alignment horizontal="left" vertical="center"/>
    </xf>
    <xf numFmtId="6" fontId="4" fillId="0" borderId="3" xfId="0" applyNumberFormat="1" applyFont="1" applyBorder="1" applyAlignment="1">
      <alignment horizontal="left" vertical="center"/>
    </xf>
    <xf numFmtId="6" fontId="34" fillId="0" borderId="0" xfId="0" applyNumberFormat="1" applyFont="1" applyAlignment="1">
      <alignment horizontal="left" vertical="center"/>
    </xf>
    <xf numFmtId="6" fontId="31" fillId="0" borderId="0" xfId="0" applyNumberFormat="1" applyFont="1" applyAlignment="1">
      <alignment horizontal="left" vertical="center"/>
    </xf>
    <xf numFmtId="6" fontId="4" fillId="0" borderId="42" xfId="0" applyNumberFormat="1" applyFont="1" applyBorder="1" applyAlignment="1">
      <alignment horizontal="left" vertical="center"/>
    </xf>
    <xf numFmtId="6" fontId="4" fillId="0" borderId="31" xfId="0" applyNumberFormat="1" applyFont="1" applyBorder="1" applyAlignment="1">
      <alignment horizontal="left" vertical="center"/>
    </xf>
    <xf numFmtId="6" fontId="4" fillId="0" borderId="32" xfId="0" applyNumberFormat="1" applyFont="1" applyBorder="1" applyAlignment="1">
      <alignment horizontal="left" vertical="center"/>
    </xf>
    <xf numFmtId="6" fontId="4" fillId="0" borderId="33" xfId="0" applyNumberFormat="1" applyFont="1" applyBorder="1" applyAlignment="1">
      <alignment horizontal="left" vertical="center"/>
    </xf>
    <xf numFmtId="6" fontId="4" fillId="0" borderId="34" xfId="0" applyNumberFormat="1" applyFont="1" applyBorder="1" applyAlignment="1">
      <alignment horizontal="left" vertical="center"/>
    </xf>
    <xf numFmtId="6" fontId="4" fillId="0" borderId="4" xfId="0" applyNumberFormat="1" applyFont="1" applyBorder="1" applyAlignment="1">
      <alignment horizontal="left" vertical="center"/>
    </xf>
    <xf numFmtId="6" fontId="4" fillId="0" borderId="36" xfId="0" applyNumberFormat="1" applyFont="1" applyBorder="1" applyAlignment="1">
      <alignment horizontal="left" vertical="center"/>
    </xf>
    <xf numFmtId="0" fontId="0" fillId="0" borderId="15" xfId="0" applyBorder="1" applyAlignment="1">
      <alignment horizontal="left" wrapText="1"/>
    </xf>
    <xf numFmtId="0" fontId="0" fillId="0" borderId="16" xfId="0" applyBorder="1" applyAlignment="1">
      <alignment horizontal="left" wrapText="1"/>
    </xf>
    <xf numFmtId="0" fontId="0" fillId="0" borderId="5" xfId="0" applyBorder="1" applyAlignment="1">
      <alignment horizontal="left" wrapText="1"/>
    </xf>
    <xf numFmtId="0" fontId="0" fillId="0" borderId="6" xfId="0" applyBorder="1" applyAlignment="1">
      <alignment horizontal="left" wrapText="1"/>
    </xf>
    <xf numFmtId="0" fontId="0" fillId="0" borderId="18" xfId="0" applyBorder="1" applyAlignment="1">
      <alignment horizontal="left" wrapText="1"/>
    </xf>
    <xf numFmtId="0" fontId="0" fillId="0" borderId="19" xfId="0" applyBorder="1" applyAlignment="1">
      <alignment horizontal="left" wrapText="1"/>
    </xf>
    <xf numFmtId="0" fontId="2" fillId="0" borderId="15" xfId="0" applyFont="1" applyBorder="1" applyAlignment="1">
      <alignment horizontal="center"/>
    </xf>
    <xf numFmtId="0" fontId="2" fillId="0" borderId="16" xfId="0" applyFont="1" applyBorder="1" applyAlignment="1">
      <alignment horizontal="center"/>
    </xf>
    <xf numFmtId="6" fontId="3" fillId="17" borderId="13" xfId="0" applyNumberFormat="1" applyFont="1" applyFill="1" applyBorder="1" applyAlignment="1" applyProtection="1">
      <alignment vertical="distributed"/>
      <protection locked="0"/>
    </xf>
    <xf numFmtId="6" fontId="3" fillId="17" borderId="3" xfId="0" applyNumberFormat="1" applyFont="1" applyFill="1" applyBorder="1" applyAlignment="1" applyProtection="1">
      <alignment vertical="distributed"/>
      <protection locked="0"/>
    </xf>
    <xf numFmtId="6" fontId="3" fillId="17" borderId="13" xfId="0" applyNumberFormat="1" applyFont="1" applyFill="1" applyBorder="1" applyAlignment="1" applyProtection="1">
      <alignment horizontal="left" vertical="distributed"/>
      <protection locked="0"/>
    </xf>
    <xf numFmtId="6" fontId="3" fillId="17" borderId="3" xfId="0" applyNumberFormat="1" applyFont="1" applyFill="1" applyBorder="1" applyAlignment="1" applyProtection="1">
      <alignment horizontal="left" vertical="distributed"/>
      <protection locked="0"/>
    </xf>
    <xf numFmtId="6" fontId="3" fillId="2" borderId="13" xfId="0" applyNumberFormat="1" applyFont="1" applyFill="1" applyBorder="1" applyAlignment="1" applyProtection="1">
      <alignment vertical="distributed"/>
      <protection locked="0"/>
    </xf>
    <xf numFmtId="6" fontId="3" fillId="2" borderId="3" xfId="0" applyNumberFormat="1" applyFont="1" applyFill="1" applyBorder="1" applyAlignment="1" applyProtection="1">
      <alignment vertical="distributed"/>
      <protection locked="0"/>
    </xf>
    <xf numFmtId="6" fontId="20" fillId="0" borderId="13" xfId="0" applyNumberFormat="1" applyFont="1" applyBorder="1" applyAlignment="1" applyProtection="1">
      <alignment vertical="distributed"/>
      <protection locked="0"/>
    </xf>
    <xf numFmtId="6" fontId="20" fillId="0" borderId="3" xfId="0" applyNumberFormat="1" applyFont="1" applyBorder="1" applyAlignment="1" applyProtection="1">
      <alignment vertical="distributed"/>
      <protection locked="0"/>
    </xf>
    <xf numFmtId="6" fontId="20" fillId="0" borderId="13" xfId="0" applyNumberFormat="1" applyFont="1" applyBorder="1" applyAlignment="1" applyProtection="1">
      <alignment horizontal="left" vertical="distributed"/>
      <protection locked="0"/>
    </xf>
    <xf numFmtId="6" fontId="20" fillId="0" borderId="3" xfId="0" applyNumberFormat="1" applyFont="1" applyBorder="1" applyAlignment="1" applyProtection="1">
      <alignment horizontal="left" vertical="distributed"/>
      <protection locked="0"/>
    </xf>
    <xf numFmtId="6" fontId="0" fillId="0" borderId="3" xfId="0" applyNumberFormat="1" applyBorder="1" applyAlignment="1" applyProtection="1">
      <alignment horizontal="left" vertical="distributed"/>
      <protection locked="0"/>
    </xf>
    <xf numFmtId="6" fontId="65" fillId="0" borderId="3" xfId="0" applyNumberFormat="1" applyFont="1" applyBorder="1" applyAlignment="1" applyProtection="1">
      <alignment horizontal="left" vertical="distributed"/>
      <protection locked="0"/>
    </xf>
    <xf numFmtId="6" fontId="4" fillId="0" borderId="13" xfId="0" applyNumberFormat="1" applyFont="1" applyBorder="1" applyAlignment="1" applyProtection="1">
      <alignment horizontal="left" vertical="distributed"/>
      <protection locked="0"/>
    </xf>
    <xf numFmtId="6" fontId="4" fillId="0" borderId="3" xfId="0" applyNumberFormat="1" applyFont="1" applyBorder="1" applyAlignment="1" applyProtection="1">
      <alignment horizontal="left" vertical="distributed"/>
      <protection locked="0"/>
    </xf>
    <xf numFmtId="6" fontId="3" fillId="0" borderId="13" xfId="0" applyNumberFormat="1" applyFont="1" applyBorder="1" applyAlignment="1" applyProtection="1">
      <alignment horizontal="center" vertical="distributed"/>
      <protection locked="0"/>
    </xf>
    <xf numFmtId="6" fontId="3" fillId="0" borderId="33" xfId="0" applyNumberFormat="1" applyFont="1" applyBorder="1" applyAlignment="1" applyProtection="1">
      <alignment horizontal="center" vertical="distributed"/>
      <protection locked="0"/>
    </xf>
    <xf numFmtId="6" fontId="3" fillId="0" borderId="34" xfId="0" applyNumberFormat="1" applyFont="1" applyBorder="1" applyAlignment="1" applyProtection="1">
      <alignment horizontal="center" vertical="distributed"/>
      <protection locked="0"/>
    </xf>
    <xf numFmtId="6" fontId="4" fillId="0" borderId="42" xfId="0" applyNumberFormat="1" applyFont="1" applyBorder="1" applyAlignment="1" applyProtection="1">
      <alignment horizontal="left" vertical="center"/>
      <protection locked="0"/>
    </xf>
    <xf numFmtId="6" fontId="11" fillId="0" borderId="2" xfId="0" applyNumberFormat="1" applyFont="1" applyBorder="1" applyAlignment="1" applyProtection="1">
      <alignment horizontal="center" vertical="center"/>
      <protection locked="0"/>
    </xf>
    <xf numFmtId="6" fontId="11" fillId="0" borderId="33" xfId="0" applyNumberFormat="1" applyFont="1" applyBorder="1" applyAlignment="1" applyProtection="1">
      <alignment horizontal="center" vertical="center"/>
      <protection locked="0"/>
    </xf>
    <xf numFmtId="6" fontId="11" fillId="0" borderId="34" xfId="0" applyNumberFormat="1" applyFont="1" applyBorder="1" applyAlignment="1" applyProtection="1">
      <alignment horizontal="center" vertical="center"/>
      <protection locked="0"/>
    </xf>
    <xf numFmtId="6" fontId="26" fillId="0" borderId="30" xfId="0" applyNumberFormat="1" applyFont="1" applyBorder="1" applyAlignment="1" applyProtection="1">
      <alignment horizontal="center" vertical="center"/>
      <protection locked="0"/>
    </xf>
    <xf numFmtId="6" fontId="26" fillId="0" borderId="31" xfId="0" applyNumberFormat="1" applyFont="1" applyBorder="1" applyAlignment="1" applyProtection="1">
      <alignment horizontal="center" vertical="center"/>
      <protection locked="0"/>
    </xf>
    <xf numFmtId="6" fontId="26" fillId="0" borderId="32" xfId="0" applyNumberFormat="1" applyFont="1" applyBorder="1" applyAlignment="1" applyProtection="1">
      <alignment horizontal="center" vertical="center"/>
      <protection locked="0"/>
    </xf>
    <xf numFmtId="6" fontId="3" fillId="0" borderId="35" xfId="0" applyNumberFormat="1" applyFont="1" applyBorder="1" applyAlignment="1" applyProtection="1">
      <alignment vertical="distributed"/>
      <protection locked="0"/>
    </xf>
    <xf numFmtId="6" fontId="11" fillId="0" borderId="38" xfId="0" applyNumberFormat="1" applyFont="1" applyBorder="1" applyAlignment="1" applyProtection="1">
      <alignment horizontal="center" vertical="center"/>
      <protection locked="0"/>
    </xf>
    <xf numFmtId="6" fontId="11" fillId="0" borderId="4" xfId="0" applyNumberFormat="1" applyFont="1" applyBorder="1" applyAlignment="1" applyProtection="1">
      <alignment horizontal="center" vertical="center"/>
      <protection locked="0"/>
    </xf>
    <xf numFmtId="6" fontId="11" fillId="0" borderId="36" xfId="0" applyNumberFormat="1" applyFont="1" applyBorder="1" applyAlignment="1" applyProtection="1">
      <alignment horizontal="center" vertical="center"/>
      <protection locked="0"/>
    </xf>
    <xf numFmtId="0" fontId="0" fillId="0" borderId="5" xfId="0" applyBorder="1" applyAlignment="1">
      <alignment horizontal="left"/>
    </xf>
    <xf numFmtId="0" fontId="0" fillId="0" borderId="0" xfId="0" applyAlignment="1">
      <alignment horizontal="left"/>
    </xf>
    <xf numFmtId="0" fontId="40" fillId="0" borderId="0" xfId="3" applyFont="1" applyBorder="1" applyAlignment="1">
      <alignment horizontal="left" vertical="distributed"/>
    </xf>
    <xf numFmtId="0" fontId="40" fillId="0" borderId="0" xfId="3" applyFont="1" applyBorder="1" applyAlignment="1" applyProtection="1">
      <alignment horizontal="left" vertical="distributed"/>
      <protection locked="0"/>
    </xf>
  </cellXfs>
  <cellStyles count="9">
    <cellStyle name="Currency" xfId="1" builtinId="4"/>
    <cellStyle name="Currency 2" xfId="4" xr:uid="{29F208EE-8BEB-4FCA-8317-713BE17E9C4B}"/>
    <cellStyle name="Currency 3" xfId="8" xr:uid="{B9B61840-4FBE-4134-B8DE-AD9EF8248F11}"/>
    <cellStyle name="Currency 4" xfId="6" xr:uid="{C3083B8D-58A4-4527-BAEF-C738D1B7EDAF}"/>
    <cellStyle name="Hyperlink" xfId="7" builtinId="8"/>
    <cellStyle name="Normal" xfId="0" builtinId="0"/>
    <cellStyle name="Normal 2" xfId="3" xr:uid="{4A5F30F9-C80A-4A46-8A8B-AEFD42693DCB}"/>
    <cellStyle name="Normal 3" xfId="5" xr:uid="{ED0874C7-A6E4-4151-A7B5-F2E2D0010270}"/>
    <cellStyle name="Percent" xfId="2" builtinId="5"/>
  </cellStyles>
  <dxfs count="0"/>
  <tableStyles count="0" defaultTableStyle="TableStyleMedium2" defaultPivotStyle="PivotStyleLight16"/>
  <colors>
    <mruColors>
      <color rgb="FF0000FF"/>
      <color rgb="FF009900"/>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_rels/activeX10.xml.rels><?xml version="1.0" encoding="UTF-8" standalone="yes"?>
<Relationships xmlns="http://schemas.openxmlformats.org/package/2006/relationships"><Relationship Id="rId1" Type="http://schemas.microsoft.com/office/2006/relationships/activeXControlBinary" Target="activeX10.bin"/></Relationships>
</file>

<file path=xl/activeX/activeX1.xml><?xml version="1.0" encoding="utf-8"?>
<ax:ocx xmlns:ax="http://schemas.microsoft.com/office/2006/activeX" xmlns:r="http://schemas.openxmlformats.org/officeDocument/2006/relationships" ax:classid="{8BD21D30-EC42-11CE-9E0D-00AA006002F3}" ax:persistence="persistStreamInit" r:id="rId1"/>
</file>

<file path=xl/activeX/activeX2.xml><?xml version="1.0" encoding="utf-8"?>
<ax:ocx xmlns:ax="http://schemas.microsoft.com/office/2006/activeX" xmlns:r="http://schemas.openxmlformats.org/officeDocument/2006/relationships" ax:classid="{8BD21D50-EC42-11CE-9E0D-00AA006002F3}" ax:persistence="persistStreamInit" r:id="rId1"/>
</file>

<file path=xl/activeX/activeX3.xml><?xml version="1.0" encoding="utf-8"?>
<ax:ocx xmlns:ax="http://schemas.microsoft.com/office/2006/activeX" xmlns:r="http://schemas.openxmlformats.org/officeDocument/2006/relationships" ax:classid="{8BD21D50-EC42-11CE-9E0D-00AA006002F3}" ax:persistence="persistStreamInit" r:id="rId1"/>
</file>

<file path=xl/activeX/activeX4.xml><?xml version="1.0" encoding="utf-8"?>
<ax:ocx xmlns:ax="http://schemas.microsoft.com/office/2006/activeX" xmlns:r="http://schemas.openxmlformats.org/officeDocument/2006/relationships" ax:classid="{8BD21D30-EC42-11CE-9E0D-00AA006002F3}" ax:persistence="persistStreamInit" r:id="rId1"/>
</file>

<file path=xl/activeX/activeX5.xml><?xml version="1.0" encoding="utf-8"?>
<ax:ocx xmlns:ax="http://schemas.microsoft.com/office/2006/activeX" xmlns:r="http://schemas.openxmlformats.org/officeDocument/2006/relationships" ax:classid="{8BD21D30-EC42-11CE-9E0D-00AA006002F3}" ax:persistence="persistStreamInit" r:id="rId1"/>
</file>

<file path=xl/activeX/activeX6.xml><?xml version="1.0" encoding="utf-8"?>
<ax:ocx xmlns:ax="http://schemas.microsoft.com/office/2006/activeX" xmlns:r="http://schemas.openxmlformats.org/officeDocument/2006/relationships" ax:classid="{8BD21D30-EC42-11CE-9E0D-00AA006002F3}" ax:persistence="persistStreamInit" r:id="rId1"/>
</file>

<file path=xl/activeX/activeX7.xml><?xml version="1.0" encoding="utf-8"?>
<ax:ocx xmlns:ax="http://schemas.microsoft.com/office/2006/activeX" xmlns:r="http://schemas.openxmlformats.org/officeDocument/2006/relationships" ax:classid="{8BD21D30-EC42-11CE-9E0D-00AA006002F3}" ax:persistence="persistStreamInit" r:id="rId1"/>
</file>

<file path=xl/activeX/activeX8.xml><?xml version="1.0" encoding="utf-8"?>
<ax:ocx xmlns:ax="http://schemas.microsoft.com/office/2006/activeX" xmlns:r="http://schemas.openxmlformats.org/officeDocument/2006/relationships" ax:classid="{8BD21D50-EC42-11CE-9E0D-00AA006002F3}" ax:persistence="persistStreamInit" r:id="rId1"/>
</file>

<file path=xl/activeX/activeX9.xml><?xml version="1.0" encoding="utf-8"?>
<ax:ocx xmlns:ax="http://schemas.microsoft.com/office/2006/activeX" xmlns:r="http://schemas.openxmlformats.org/officeDocument/2006/relationships" ax:classid="{8BD21D50-EC42-11CE-9E0D-00AA006002F3}" ax:persistence="persistStreamInit" r:id="rId1"/>
</file>

<file path=xl/activeX/activeX10.xml><?xml version="1.0" encoding="utf-8"?>
<ax:ocx xmlns:ax="http://schemas.microsoft.com/office/2006/activeX" xmlns:r="http://schemas.openxmlformats.org/officeDocument/2006/relationships" ax:classid="{8BD21D30-EC42-11CE-9E0D-00AA006002F3}" ax:persistence="persistStreamInit" r:id="rId1"/>
</file>

<file path=xl/drawings/_rels/drawing1.xml.rels><?xml version="1.0" encoding="UTF-8" standalone="yes"?>
<Relationships xmlns="http://schemas.openxmlformats.org/package/2006/relationships"><Relationship Id="rId3" Type="http://schemas.openxmlformats.org/officeDocument/2006/relationships/image" Target="../media/image9.jpeg"/><Relationship Id="rId2" Type="http://schemas.openxmlformats.org/officeDocument/2006/relationships/image" Target="../media/image8.jpeg"/><Relationship Id="rId1" Type="http://schemas.openxmlformats.org/officeDocument/2006/relationships/image" Target="../media/image7.jpeg"/><Relationship Id="rId6" Type="http://schemas.openxmlformats.org/officeDocument/2006/relationships/image" Target="../media/image12.jpeg"/><Relationship Id="rId5" Type="http://schemas.openxmlformats.org/officeDocument/2006/relationships/image" Target="../media/image11.png"/><Relationship Id="rId4" Type="http://schemas.openxmlformats.org/officeDocument/2006/relationships/image" Target="../media/image10.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3.xml.rels><?xml version="1.0" encoding="UTF-8" standalone="yes"?>
<Relationships xmlns="http://schemas.openxmlformats.org/package/2006/relationships"><Relationship Id="rId3" Type="http://schemas.openxmlformats.org/officeDocument/2006/relationships/image" Target="../media/image16.jpeg"/><Relationship Id="rId2" Type="http://schemas.openxmlformats.org/officeDocument/2006/relationships/image" Target="../media/image15.jpeg"/><Relationship Id="rId1" Type="http://schemas.openxmlformats.org/officeDocument/2006/relationships/image" Target="../media/image14.jpeg"/><Relationship Id="rId4" Type="http://schemas.openxmlformats.org/officeDocument/2006/relationships/image" Target="../media/image10.jpeg"/></Relationships>
</file>

<file path=xl/drawings/_rels/drawing6.xml.rels><?xml version="1.0" encoding="UTF-8" standalone="yes"?>
<Relationships xmlns="http://schemas.openxmlformats.org/package/2006/relationships"><Relationship Id="rId3" Type="http://schemas.openxmlformats.org/officeDocument/2006/relationships/image" Target="../media/image9.jpeg"/><Relationship Id="rId2" Type="http://schemas.openxmlformats.org/officeDocument/2006/relationships/image" Target="../media/image8.jpeg"/><Relationship Id="rId1" Type="http://schemas.openxmlformats.org/officeDocument/2006/relationships/image" Target="../media/image7.jpeg"/><Relationship Id="rId6" Type="http://schemas.openxmlformats.org/officeDocument/2006/relationships/image" Target="../media/image12.jpeg"/><Relationship Id="rId5" Type="http://schemas.openxmlformats.org/officeDocument/2006/relationships/image" Target="../media/image11.png"/><Relationship Id="rId4" Type="http://schemas.openxmlformats.org/officeDocument/2006/relationships/image" Target="../media/image10.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3" Type="http://schemas.openxmlformats.org/officeDocument/2006/relationships/image" Target="../media/image4.emf"/><Relationship Id="rId2" Type="http://schemas.openxmlformats.org/officeDocument/2006/relationships/image" Target="../media/image3.emf"/><Relationship Id="rId1" Type="http://schemas.openxmlformats.org/officeDocument/2006/relationships/image" Target="../media/image2.emf"/><Relationship Id="rId5" Type="http://schemas.openxmlformats.org/officeDocument/2006/relationships/image" Target="../media/image6.emf"/><Relationship Id="rId4"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3" Type="http://schemas.openxmlformats.org/officeDocument/2006/relationships/image" Target="../media/image19.emf"/><Relationship Id="rId2" Type="http://schemas.openxmlformats.org/officeDocument/2006/relationships/image" Target="../media/image20.emf"/><Relationship Id="rId1" Type="http://schemas.openxmlformats.org/officeDocument/2006/relationships/image" Target="../media/image21.emf"/><Relationship Id="rId5" Type="http://schemas.openxmlformats.org/officeDocument/2006/relationships/image" Target="../media/image17.emf"/><Relationship Id="rId4" Type="http://schemas.openxmlformats.org/officeDocument/2006/relationships/image" Target="../media/image18.emf"/></Relationships>
</file>

<file path=xl/drawings/drawing1.xml><?xml version="1.0" encoding="utf-8"?>
<xdr:wsDr xmlns:xdr="http://schemas.openxmlformats.org/drawingml/2006/spreadsheetDrawing" xmlns:a="http://schemas.openxmlformats.org/drawingml/2006/main">
  <xdr:twoCellAnchor editAs="oneCell">
    <xdr:from>
      <xdr:col>2</xdr:col>
      <xdr:colOff>205740</xdr:colOff>
      <xdr:row>334</xdr:row>
      <xdr:rowOff>15240</xdr:rowOff>
    </xdr:from>
    <xdr:to>
      <xdr:col>3</xdr:col>
      <xdr:colOff>548640</xdr:colOff>
      <xdr:row>342</xdr:row>
      <xdr:rowOff>38100</xdr:rowOff>
    </xdr:to>
    <xdr:pic>
      <xdr:nvPicPr>
        <xdr:cNvPr id="2" name="Picture 5">
          <a:extLst>
            <a:ext uri="{FF2B5EF4-FFF2-40B4-BE49-F238E27FC236}">
              <a16:creationId xmlns:a16="http://schemas.microsoft.com/office/drawing/2014/main" id="{00000000-0008-0000-06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53515" y="73081515"/>
          <a:ext cx="3724275" cy="18516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3429000</xdr:colOff>
      <xdr:row>44</xdr:row>
      <xdr:rowOff>15241</xdr:rowOff>
    </xdr:from>
    <xdr:to>
      <xdr:col>5</xdr:col>
      <xdr:colOff>594360</xdr:colOff>
      <xdr:row>46</xdr:row>
      <xdr:rowOff>266701</xdr:rowOff>
    </xdr:to>
    <xdr:pic>
      <xdr:nvPicPr>
        <xdr:cNvPr id="3" name="Picture 6">
          <a:extLst>
            <a:ext uri="{FF2B5EF4-FFF2-40B4-BE49-F238E27FC236}">
              <a16:creationId xmlns:a16="http://schemas.microsoft.com/office/drawing/2014/main" id="{00000000-0008-0000-06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629150" y="10111741"/>
          <a:ext cx="1870710" cy="765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3088005</xdr:colOff>
      <xdr:row>1</xdr:row>
      <xdr:rowOff>41910</xdr:rowOff>
    </xdr:from>
    <xdr:to>
      <xdr:col>5</xdr:col>
      <xdr:colOff>512445</xdr:colOff>
      <xdr:row>3</xdr:row>
      <xdr:rowOff>361950</xdr:rowOff>
    </xdr:to>
    <xdr:pic>
      <xdr:nvPicPr>
        <xdr:cNvPr id="4" name="Picture 7">
          <a:extLst>
            <a:ext uri="{FF2B5EF4-FFF2-40B4-BE49-F238E27FC236}">
              <a16:creationId xmlns:a16="http://schemas.microsoft.com/office/drawing/2014/main" id="{00000000-0008-0000-0600-000004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335780" y="270510"/>
          <a:ext cx="2082165" cy="777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57150</xdr:colOff>
      <xdr:row>185</xdr:row>
      <xdr:rowOff>28575</xdr:rowOff>
    </xdr:from>
    <xdr:to>
      <xdr:col>3</xdr:col>
      <xdr:colOff>0</xdr:colOff>
      <xdr:row>186</xdr:row>
      <xdr:rowOff>57150</xdr:rowOff>
    </xdr:to>
    <xdr:sp macro="" textlink="">
      <xdr:nvSpPr>
        <xdr:cNvPr id="5" name="ComboBox1" hidden="1">
          <a:extLst>
            <a:ext uri="{63B3BB69-23CF-44E3-9099-C40C66FF867C}">
              <a14:compatExt xmlns:a14="http://schemas.microsoft.com/office/drawing/2010/main" spid="_x0000_s1025"/>
            </a:ext>
            <a:ext uri="{FF2B5EF4-FFF2-40B4-BE49-F238E27FC236}">
              <a16:creationId xmlns:a16="http://schemas.microsoft.com/office/drawing/2014/main" id="{00000000-0008-0000-0600-000005000000}"/>
            </a:ext>
          </a:extLst>
        </xdr:cNvPr>
        <xdr:cNvSpPr/>
      </xdr:nvSpPr>
      <xdr:spPr bwMode="auto">
        <a:xfrm>
          <a:off x="1304925" y="44557950"/>
          <a:ext cx="3324225" cy="295275"/>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7</xdr:col>
      <xdr:colOff>19050</xdr:colOff>
      <xdr:row>177</xdr:row>
      <xdr:rowOff>76200</xdr:rowOff>
    </xdr:from>
    <xdr:to>
      <xdr:col>7</xdr:col>
      <xdr:colOff>3457575</xdr:colOff>
      <xdr:row>178</xdr:row>
      <xdr:rowOff>57150</xdr:rowOff>
    </xdr:to>
    <xdr:sp macro="" textlink="">
      <xdr:nvSpPr>
        <xdr:cNvPr id="6" name="ComboBox2" hidden="1">
          <a:extLst>
            <a:ext uri="{63B3BB69-23CF-44E3-9099-C40C66FF867C}">
              <a14:compatExt xmlns:a14="http://schemas.microsoft.com/office/drawing/2010/main" spid="_x0000_s1026"/>
            </a:ext>
            <a:ext uri="{FF2B5EF4-FFF2-40B4-BE49-F238E27FC236}">
              <a16:creationId xmlns:a16="http://schemas.microsoft.com/office/drawing/2014/main" id="{00000000-0008-0000-0600-000006000000}"/>
            </a:ext>
          </a:extLst>
        </xdr:cNvPr>
        <xdr:cNvSpPr/>
      </xdr:nvSpPr>
      <xdr:spPr bwMode="auto">
        <a:xfrm>
          <a:off x="7172325" y="42576750"/>
          <a:ext cx="3438525" cy="32385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7</xdr:col>
      <xdr:colOff>2428875</xdr:colOff>
      <xdr:row>173</xdr:row>
      <xdr:rowOff>28575</xdr:rowOff>
    </xdr:from>
    <xdr:to>
      <xdr:col>7</xdr:col>
      <xdr:colOff>3276600</xdr:colOff>
      <xdr:row>173</xdr:row>
      <xdr:rowOff>266700</xdr:rowOff>
    </xdr:to>
    <xdr:sp macro="" textlink="">
      <xdr:nvSpPr>
        <xdr:cNvPr id="7" name="optECHUCA" hidden="1">
          <a:extLst>
            <a:ext uri="{63B3BB69-23CF-44E3-9099-C40C66FF867C}">
              <a14:compatExt xmlns:a14="http://schemas.microsoft.com/office/drawing/2010/main" spid="_x0000_s1027"/>
            </a:ext>
            <a:ext uri="{FF2B5EF4-FFF2-40B4-BE49-F238E27FC236}">
              <a16:creationId xmlns:a16="http://schemas.microsoft.com/office/drawing/2014/main" id="{00000000-0008-0000-0600-000007000000}"/>
            </a:ext>
          </a:extLst>
        </xdr:cNvPr>
        <xdr:cNvSpPr/>
      </xdr:nvSpPr>
      <xdr:spPr bwMode="auto">
        <a:xfrm>
          <a:off x="9582150" y="41557575"/>
          <a:ext cx="847725" cy="238125"/>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7</xdr:col>
      <xdr:colOff>857250</xdr:colOff>
      <xdr:row>173</xdr:row>
      <xdr:rowOff>9525</xdr:rowOff>
    </xdr:from>
    <xdr:to>
      <xdr:col>7</xdr:col>
      <xdr:colOff>2038350</xdr:colOff>
      <xdr:row>173</xdr:row>
      <xdr:rowOff>257175</xdr:rowOff>
    </xdr:to>
    <xdr:sp macro="" textlink="">
      <xdr:nvSpPr>
        <xdr:cNvPr id="8" name="optShepparton" hidden="1">
          <a:extLst>
            <a:ext uri="{63B3BB69-23CF-44E3-9099-C40C66FF867C}">
              <a14:compatExt xmlns:a14="http://schemas.microsoft.com/office/drawing/2010/main" spid="_x0000_s1028"/>
            </a:ext>
            <a:ext uri="{FF2B5EF4-FFF2-40B4-BE49-F238E27FC236}">
              <a16:creationId xmlns:a16="http://schemas.microsoft.com/office/drawing/2014/main" id="{00000000-0008-0000-0600-000008000000}"/>
            </a:ext>
          </a:extLst>
        </xdr:cNvPr>
        <xdr:cNvSpPr/>
      </xdr:nvSpPr>
      <xdr:spPr bwMode="auto">
        <a:xfrm>
          <a:off x="8010525" y="41538525"/>
          <a:ext cx="1181100" cy="24765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2</xdr:col>
      <xdr:colOff>3451860</xdr:colOff>
      <xdr:row>178</xdr:row>
      <xdr:rowOff>83820</xdr:rowOff>
    </xdr:from>
    <xdr:to>
      <xdr:col>6</xdr:col>
      <xdr:colOff>15240</xdr:colOff>
      <xdr:row>181</xdr:row>
      <xdr:rowOff>198120</xdr:rowOff>
    </xdr:to>
    <xdr:pic>
      <xdr:nvPicPr>
        <xdr:cNvPr id="9" name="Picture 6">
          <a:extLst>
            <a:ext uri="{FF2B5EF4-FFF2-40B4-BE49-F238E27FC236}">
              <a16:creationId xmlns:a16="http://schemas.microsoft.com/office/drawing/2014/main" id="{00000000-0008-0000-0600-000009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632960" y="42927270"/>
          <a:ext cx="1925955"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editAs="oneCell">
        <xdr:from>
          <xdr:col>2</xdr:col>
          <xdr:colOff>9525</xdr:colOff>
          <xdr:row>185</xdr:row>
          <xdr:rowOff>19050</xdr:rowOff>
        </xdr:from>
        <xdr:to>
          <xdr:col>3</xdr:col>
          <xdr:colOff>0</xdr:colOff>
          <xdr:row>185</xdr:row>
          <xdr:rowOff>257175</xdr:rowOff>
        </xdr:to>
        <xdr:sp macro="" textlink="">
          <xdr:nvSpPr>
            <xdr:cNvPr id="5121" name="ComboBox1" hidden="1">
              <a:extLst>
                <a:ext uri="{63B3BB69-23CF-44E3-9099-C40C66FF867C}">
                  <a14:compatExt spid="_x0000_s5121"/>
                </a:ext>
                <a:ext uri="{FF2B5EF4-FFF2-40B4-BE49-F238E27FC236}">
                  <a16:creationId xmlns:a16="http://schemas.microsoft.com/office/drawing/2014/main" id="{00000000-0008-0000-0600-00000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342900</xdr:colOff>
          <xdr:row>173</xdr:row>
          <xdr:rowOff>19050</xdr:rowOff>
        </xdr:from>
        <xdr:to>
          <xdr:col>7</xdr:col>
          <xdr:colOff>1333500</xdr:colOff>
          <xdr:row>174</xdr:row>
          <xdr:rowOff>0</xdr:rowOff>
        </xdr:to>
        <xdr:sp macro="" textlink="">
          <xdr:nvSpPr>
            <xdr:cNvPr id="5122" name="optShepparton" hidden="1">
              <a:extLst>
                <a:ext uri="{63B3BB69-23CF-44E3-9099-C40C66FF867C}">
                  <a14:compatExt spid="_x0000_s5122"/>
                </a:ext>
                <a:ext uri="{FF2B5EF4-FFF2-40B4-BE49-F238E27FC236}">
                  <a16:creationId xmlns:a16="http://schemas.microsoft.com/office/drawing/2014/main" id="{00000000-0008-0000-0600-00000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2247900</xdr:colOff>
          <xdr:row>173</xdr:row>
          <xdr:rowOff>19050</xdr:rowOff>
        </xdr:from>
        <xdr:to>
          <xdr:col>7</xdr:col>
          <xdr:colOff>3238500</xdr:colOff>
          <xdr:row>174</xdr:row>
          <xdr:rowOff>0</xdr:rowOff>
        </xdr:to>
        <xdr:sp macro="" textlink="">
          <xdr:nvSpPr>
            <xdr:cNvPr id="5123" name="optECHUCA" hidden="1">
              <a:extLst>
                <a:ext uri="{63B3BB69-23CF-44E3-9099-C40C66FF867C}">
                  <a14:compatExt spid="_x0000_s5123"/>
                </a:ext>
                <a:ext uri="{FF2B5EF4-FFF2-40B4-BE49-F238E27FC236}">
                  <a16:creationId xmlns:a16="http://schemas.microsoft.com/office/drawing/2014/main" id="{00000000-0008-0000-0600-00000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171</xdr:row>
          <xdr:rowOff>38100</xdr:rowOff>
        </xdr:from>
        <xdr:to>
          <xdr:col>7</xdr:col>
          <xdr:colOff>1885950</xdr:colOff>
          <xdr:row>171</xdr:row>
          <xdr:rowOff>276225</xdr:rowOff>
        </xdr:to>
        <xdr:sp macro="" textlink="">
          <xdr:nvSpPr>
            <xdr:cNvPr id="5124" name="cmbTimePeriod" hidden="1">
              <a:extLst>
                <a:ext uri="{63B3BB69-23CF-44E3-9099-C40C66FF867C}">
                  <a14:compatExt spid="_x0000_s5124"/>
                </a:ext>
                <a:ext uri="{FF2B5EF4-FFF2-40B4-BE49-F238E27FC236}">
                  <a16:creationId xmlns:a16="http://schemas.microsoft.com/office/drawing/2014/main" id="{00000000-0008-0000-0600-00000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47625</xdr:colOff>
          <xdr:row>177</xdr:row>
          <xdr:rowOff>19050</xdr:rowOff>
        </xdr:from>
        <xdr:to>
          <xdr:col>7</xdr:col>
          <xdr:colOff>1790700</xdr:colOff>
          <xdr:row>177</xdr:row>
          <xdr:rowOff>285750</xdr:rowOff>
        </xdr:to>
        <xdr:sp macro="" textlink="">
          <xdr:nvSpPr>
            <xdr:cNvPr id="5125" name="cmdArea" hidden="1">
              <a:extLst>
                <a:ext uri="{63B3BB69-23CF-44E3-9099-C40C66FF867C}">
                  <a14:compatExt spid="_x0000_s5125"/>
                </a:ext>
                <a:ext uri="{FF2B5EF4-FFF2-40B4-BE49-F238E27FC236}">
                  <a16:creationId xmlns:a16="http://schemas.microsoft.com/office/drawing/2014/main" id="{00000000-0008-0000-0600-00000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7</xdr:col>
      <xdr:colOff>3139440</xdr:colOff>
      <xdr:row>169</xdr:row>
      <xdr:rowOff>7620</xdr:rowOff>
    </xdr:from>
    <xdr:to>
      <xdr:col>7</xdr:col>
      <xdr:colOff>3429000</xdr:colOff>
      <xdr:row>169</xdr:row>
      <xdr:rowOff>297180</xdr:rowOff>
    </xdr:to>
    <xdr:pic>
      <xdr:nvPicPr>
        <xdr:cNvPr id="15" name="Picture 14" descr="539,782 Lock Stock Photos, Pictures &amp; Royalty-Free Images - iStock">
          <a:extLst>
            <a:ext uri="{FF2B5EF4-FFF2-40B4-BE49-F238E27FC236}">
              <a16:creationId xmlns:a16="http://schemas.microsoft.com/office/drawing/2014/main" id="{00000000-0008-0000-0600-00000F00000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0292715" y="40345995"/>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3421380</xdr:colOff>
      <xdr:row>168</xdr:row>
      <xdr:rowOff>304800</xdr:rowOff>
    </xdr:from>
    <xdr:to>
      <xdr:col>7</xdr:col>
      <xdr:colOff>3749040</xdr:colOff>
      <xdr:row>169</xdr:row>
      <xdr:rowOff>304800</xdr:rowOff>
    </xdr:to>
    <xdr:pic>
      <xdr:nvPicPr>
        <xdr:cNvPr id="16" name="Picture 15">
          <a:extLst>
            <a:ext uri="{FF2B5EF4-FFF2-40B4-BE49-F238E27FC236}">
              <a16:creationId xmlns:a16="http://schemas.microsoft.com/office/drawing/2014/main" id="{00000000-0008-0000-0600-000010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0574655" y="40309800"/>
          <a:ext cx="327660"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3124200</xdr:colOff>
      <xdr:row>0</xdr:row>
      <xdr:rowOff>47625</xdr:rowOff>
    </xdr:from>
    <xdr:to>
      <xdr:col>0</xdr:col>
      <xdr:colOff>4484370</xdr:colOff>
      <xdr:row>3</xdr:row>
      <xdr:rowOff>8255</xdr:rowOff>
    </xdr:to>
    <xdr:pic>
      <xdr:nvPicPr>
        <xdr:cNvPr id="2" name="image2.jpeg">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cstate="print"/>
        <a:stretch>
          <a:fillRect/>
        </a:stretch>
      </xdr:blipFill>
      <xdr:spPr>
        <a:xfrm>
          <a:off x="3124200" y="47625"/>
          <a:ext cx="1360170" cy="532130"/>
        </a:xfrm>
        <a:prstGeom prst="rect">
          <a:avLst/>
        </a:prstGeom>
      </xdr:spPr>
    </xdr:pic>
    <xdr:clientData/>
  </xdr:twoCellAnchor>
  <xdr:oneCellAnchor>
    <xdr:from>
      <xdr:col>0</xdr:col>
      <xdr:colOff>3048000</xdr:colOff>
      <xdr:row>35</xdr:row>
      <xdr:rowOff>28575</xdr:rowOff>
    </xdr:from>
    <xdr:ext cx="1363345" cy="532130"/>
    <xdr:pic>
      <xdr:nvPicPr>
        <xdr:cNvPr id="3" name="image2.jpeg">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1" cstate="print"/>
        <a:stretch>
          <a:fillRect/>
        </a:stretch>
      </xdr:blipFill>
      <xdr:spPr>
        <a:xfrm>
          <a:off x="3048000" y="9467850"/>
          <a:ext cx="1363345" cy="532130"/>
        </a:xfrm>
        <a:prstGeom prst="rect">
          <a:avLst/>
        </a:prstGeom>
      </xdr:spPr>
    </xdr:pic>
    <xdr:clientData/>
  </xdr:oneCellAnchor>
  <xdr:oneCellAnchor>
    <xdr:from>
      <xdr:col>0</xdr:col>
      <xdr:colOff>3105150</xdr:colOff>
      <xdr:row>58</xdr:row>
      <xdr:rowOff>47625</xdr:rowOff>
    </xdr:from>
    <xdr:ext cx="1363345" cy="532130"/>
    <xdr:pic>
      <xdr:nvPicPr>
        <xdr:cNvPr id="4" name="image2.jpeg">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1" cstate="print"/>
        <a:stretch>
          <a:fillRect/>
        </a:stretch>
      </xdr:blipFill>
      <xdr:spPr>
        <a:xfrm>
          <a:off x="3105150" y="16944975"/>
          <a:ext cx="1363345" cy="532130"/>
        </a:xfrm>
        <a:prstGeom prst="rect">
          <a:avLst/>
        </a:prstGeom>
      </xdr:spPr>
    </xdr:pic>
    <xdr:clientData/>
  </xdr:oneCellAnchor>
  <xdr:oneCellAnchor>
    <xdr:from>
      <xdr:col>0</xdr:col>
      <xdr:colOff>3105150</xdr:colOff>
      <xdr:row>87</xdr:row>
      <xdr:rowOff>47625</xdr:rowOff>
    </xdr:from>
    <xdr:ext cx="1363345" cy="532130"/>
    <xdr:pic>
      <xdr:nvPicPr>
        <xdr:cNvPr id="5" name="image2.jpeg">
          <a:extLst>
            <a:ext uri="{FF2B5EF4-FFF2-40B4-BE49-F238E27FC236}">
              <a16:creationId xmlns:a16="http://schemas.microsoft.com/office/drawing/2014/main" id="{00000000-0008-0000-0900-000005000000}"/>
            </a:ext>
          </a:extLst>
        </xdr:cNvPr>
        <xdr:cNvPicPr>
          <a:picLocks noChangeAspect="1"/>
        </xdr:cNvPicPr>
      </xdr:nvPicPr>
      <xdr:blipFill>
        <a:blip xmlns:r="http://schemas.openxmlformats.org/officeDocument/2006/relationships" r:embed="rId1" cstate="print"/>
        <a:stretch>
          <a:fillRect/>
        </a:stretch>
      </xdr:blipFill>
      <xdr:spPr>
        <a:xfrm>
          <a:off x="3105150" y="25441275"/>
          <a:ext cx="1363345" cy="532130"/>
        </a:xfrm>
        <a:prstGeom prst="rect">
          <a:avLst/>
        </a:prstGeom>
      </xdr:spPr>
    </xdr:pic>
    <xdr:clientData/>
  </xdr:oneCellAnchor>
  <xdr:oneCellAnchor>
    <xdr:from>
      <xdr:col>0</xdr:col>
      <xdr:colOff>3105150</xdr:colOff>
      <xdr:row>116</xdr:row>
      <xdr:rowOff>47625</xdr:rowOff>
    </xdr:from>
    <xdr:ext cx="1363345" cy="532130"/>
    <xdr:pic>
      <xdr:nvPicPr>
        <xdr:cNvPr id="6" name="image2.jpeg">
          <a:extLst>
            <a:ext uri="{FF2B5EF4-FFF2-40B4-BE49-F238E27FC236}">
              <a16:creationId xmlns:a16="http://schemas.microsoft.com/office/drawing/2014/main" id="{00000000-0008-0000-0900-000006000000}"/>
            </a:ext>
          </a:extLst>
        </xdr:cNvPr>
        <xdr:cNvPicPr>
          <a:picLocks noChangeAspect="1"/>
        </xdr:cNvPicPr>
      </xdr:nvPicPr>
      <xdr:blipFill>
        <a:blip xmlns:r="http://schemas.openxmlformats.org/officeDocument/2006/relationships" r:embed="rId1" cstate="print"/>
        <a:stretch>
          <a:fillRect/>
        </a:stretch>
      </xdr:blipFill>
      <xdr:spPr>
        <a:xfrm>
          <a:off x="3105150" y="34928175"/>
          <a:ext cx="1363345" cy="532130"/>
        </a:xfrm>
        <a:prstGeom prst="rect">
          <a:avLst/>
        </a:prstGeom>
      </xdr:spPr>
    </xdr:pic>
    <xdr:clientData/>
  </xdr:oneCellAnchor>
  <xdr:oneCellAnchor>
    <xdr:from>
      <xdr:col>0</xdr:col>
      <xdr:colOff>3105150</xdr:colOff>
      <xdr:row>116</xdr:row>
      <xdr:rowOff>47625</xdr:rowOff>
    </xdr:from>
    <xdr:ext cx="1363345" cy="532130"/>
    <xdr:pic>
      <xdr:nvPicPr>
        <xdr:cNvPr id="7" name="image2.jpeg">
          <a:extLst>
            <a:ext uri="{FF2B5EF4-FFF2-40B4-BE49-F238E27FC236}">
              <a16:creationId xmlns:a16="http://schemas.microsoft.com/office/drawing/2014/main" id="{00000000-0008-0000-0900-000007000000}"/>
            </a:ext>
          </a:extLst>
        </xdr:cNvPr>
        <xdr:cNvPicPr>
          <a:picLocks noChangeAspect="1"/>
        </xdr:cNvPicPr>
      </xdr:nvPicPr>
      <xdr:blipFill>
        <a:blip xmlns:r="http://schemas.openxmlformats.org/officeDocument/2006/relationships" r:embed="rId1" cstate="print"/>
        <a:stretch>
          <a:fillRect/>
        </a:stretch>
      </xdr:blipFill>
      <xdr:spPr>
        <a:xfrm>
          <a:off x="3105150" y="34928175"/>
          <a:ext cx="1363345" cy="532130"/>
        </a:xfrm>
        <a:prstGeom prst="rect">
          <a:avLst/>
        </a:prstGeom>
      </xdr:spPr>
    </xdr:pic>
    <xdr:clientData/>
  </xdr:oneCellAnchor>
  <xdr:oneCellAnchor>
    <xdr:from>
      <xdr:col>0</xdr:col>
      <xdr:colOff>3105150</xdr:colOff>
      <xdr:row>142</xdr:row>
      <xdr:rowOff>47625</xdr:rowOff>
    </xdr:from>
    <xdr:ext cx="1363345" cy="532130"/>
    <xdr:pic>
      <xdr:nvPicPr>
        <xdr:cNvPr id="8" name="image2.jpeg">
          <a:extLst>
            <a:ext uri="{FF2B5EF4-FFF2-40B4-BE49-F238E27FC236}">
              <a16:creationId xmlns:a16="http://schemas.microsoft.com/office/drawing/2014/main" id="{00000000-0008-0000-0900-000008000000}"/>
            </a:ext>
          </a:extLst>
        </xdr:cNvPr>
        <xdr:cNvPicPr>
          <a:picLocks noChangeAspect="1"/>
        </xdr:cNvPicPr>
      </xdr:nvPicPr>
      <xdr:blipFill>
        <a:blip xmlns:r="http://schemas.openxmlformats.org/officeDocument/2006/relationships" r:embed="rId1" cstate="print"/>
        <a:stretch>
          <a:fillRect/>
        </a:stretch>
      </xdr:blipFill>
      <xdr:spPr>
        <a:xfrm>
          <a:off x="3105150" y="42929175"/>
          <a:ext cx="1363345" cy="532130"/>
        </a:xfrm>
        <a:prstGeom prst="rect">
          <a:avLst/>
        </a:prstGeom>
      </xdr:spPr>
    </xdr:pic>
    <xdr:clientData/>
  </xdr:oneCellAnchor>
  <xdr:oneCellAnchor>
    <xdr:from>
      <xdr:col>0</xdr:col>
      <xdr:colOff>3105150</xdr:colOff>
      <xdr:row>142</xdr:row>
      <xdr:rowOff>47625</xdr:rowOff>
    </xdr:from>
    <xdr:ext cx="1363345" cy="532130"/>
    <xdr:pic>
      <xdr:nvPicPr>
        <xdr:cNvPr id="9" name="image2.jpeg">
          <a:extLst>
            <a:ext uri="{FF2B5EF4-FFF2-40B4-BE49-F238E27FC236}">
              <a16:creationId xmlns:a16="http://schemas.microsoft.com/office/drawing/2014/main" id="{00000000-0008-0000-0900-000009000000}"/>
            </a:ext>
          </a:extLst>
        </xdr:cNvPr>
        <xdr:cNvPicPr>
          <a:picLocks noChangeAspect="1"/>
        </xdr:cNvPicPr>
      </xdr:nvPicPr>
      <xdr:blipFill>
        <a:blip xmlns:r="http://schemas.openxmlformats.org/officeDocument/2006/relationships" r:embed="rId1" cstate="print"/>
        <a:stretch>
          <a:fillRect/>
        </a:stretch>
      </xdr:blipFill>
      <xdr:spPr>
        <a:xfrm>
          <a:off x="3105150" y="42929175"/>
          <a:ext cx="1363345" cy="532130"/>
        </a:xfrm>
        <a:prstGeom prst="rect">
          <a:avLst/>
        </a:prstGeom>
      </xdr:spPr>
    </xdr:pic>
    <xdr:clientData/>
  </xdr:oneCellAnchor>
  <xdr:oneCellAnchor>
    <xdr:from>
      <xdr:col>0</xdr:col>
      <xdr:colOff>3105150</xdr:colOff>
      <xdr:row>166</xdr:row>
      <xdr:rowOff>47625</xdr:rowOff>
    </xdr:from>
    <xdr:ext cx="1363345" cy="532130"/>
    <xdr:pic>
      <xdr:nvPicPr>
        <xdr:cNvPr id="10" name="image2.jpeg">
          <a:extLst>
            <a:ext uri="{FF2B5EF4-FFF2-40B4-BE49-F238E27FC236}">
              <a16:creationId xmlns:a16="http://schemas.microsoft.com/office/drawing/2014/main" id="{00000000-0008-0000-0900-00000A000000}"/>
            </a:ext>
          </a:extLst>
        </xdr:cNvPr>
        <xdr:cNvPicPr>
          <a:picLocks noChangeAspect="1"/>
        </xdr:cNvPicPr>
      </xdr:nvPicPr>
      <xdr:blipFill>
        <a:blip xmlns:r="http://schemas.openxmlformats.org/officeDocument/2006/relationships" r:embed="rId1" cstate="print"/>
        <a:stretch>
          <a:fillRect/>
        </a:stretch>
      </xdr:blipFill>
      <xdr:spPr>
        <a:xfrm>
          <a:off x="3105150" y="50434875"/>
          <a:ext cx="1363345" cy="532130"/>
        </a:xfrm>
        <a:prstGeom prst="rect">
          <a:avLst/>
        </a:prstGeom>
      </xdr:spPr>
    </xdr:pic>
    <xdr:clientData/>
  </xdr:oneCellAnchor>
  <xdr:oneCellAnchor>
    <xdr:from>
      <xdr:col>0</xdr:col>
      <xdr:colOff>3105150</xdr:colOff>
      <xdr:row>166</xdr:row>
      <xdr:rowOff>47625</xdr:rowOff>
    </xdr:from>
    <xdr:ext cx="1363345" cy="532130"/>
    <xdr:pic>
      <xdr:nvPicPr>
        <xdr:cNvPr id="11" name="image2.jpeg">
          <a:extLst>
            <a:ext uri="{FF2B5EF4-FFF2-40B4-BE49-F238E27FC236}">
              <a16:creationId xmlns:a16="http://schemas.microsoft.com/office/drawing/2014/main" id="{00000000-0008-0000-0900-00000B000000}"/>
            </a:ext>
          </a:extLst>
        </xdr:cNvPr>
        <xdr:cNvPicPr>
          <a:picLocks noChangeAspect="1"/>
        </xdr:cNvPicPr>
      </xdr:nvPicPr>
      <xdr:blipFill>
        <a:blip xmlns:r="http://schemas.openxmlformats.org/officeDocument/2006/relationships" r:embed="rId1" cstate="print"/>
        <a:stretch>
          <a:fillRect/>
        </a:stretch>
      </xdr:blipFill>
      <xdr:spPr>
        <a:xfrm>
          <a:off x="3105150" y="50434875"/>
          <a:ext cx="1363345" cy="532130"/>
        </a:xfrm>
        <a:prstGeom prst="rect">
          <a:avLst/>
        </a:prstGeom>
      </xdr:spPr>
    </xdr:pic>
    <xdr:clientData/>
  </xdr:oneCellAnchor>
  <xdr:twoCellAnchor editAs="oneCell">
    <xdr:from>
      <xdr:col>0</xdr:col>
      <xdr:colOff>3124200</xdr:colOff>
      <xdr:row>0</xdr:row>
      <xdr:rowOff>47625</xdr:rowOff>
    </xdr:from>
    <xdr:to>
      <xdr:col>0</xdr:col>
      <xdr:colOff>4484370</xdr:colOff>
      <xdr:row>3</xdr:row>
      <xdr:rowOff>8255</xdr:rowOff>
    </xdr:to>
    <xdr:pic>
      <xdr:nvPicPr>
        <xdr:cNvPr id="12" name="image2.jpeg">
          <a:extLst>
            <a:ext uri="{FF2B5EF4-FFF2-40B4-BE49-F238E27FC236}">
              <a16:creationId xmlns:a16="http://schemas.microsoft.com/office/drawing/2014/main" id="{00000000-0008-0000-0900-00000C000000}"/>
            </a:ext>
          </a:extLst>
        </xdr:cNvPr>
        <xdr:cNvPicPr>
          <a:picLocks noChangeAspect="1"/>
        </xdr:cNvPicPr>
      </xdr:nvPicPr>
      <xdr:blipFill>
        <a:blip xmlns:r="http://schemas.openxmlformats.org/officeDocument/2006/relationships" r:embed="rId1" cstate="print"/>
        <a:stretch>
          <a:fillRect/>
        </a:stretch>
      </xdr:blipFill>
      <xdr:spPr>
        <a:xfrm>
          <a:off x="3124200" y="47625"/>
          <a:ext cx="1360170" cy="532130"/>
        </a:xfrm>
        <a:prstGeom prst="rect">
          <a:avLst/>
        </a:prstGeom>
      </xdr:spPr>
    </xdr:pic>
    <xdr:clientData/>
  </xdr:twoCellAnchor>
  <xdr:oneCellAnchor>
    <xdr:from>
      <xdr:col>0</xdr:col>
      <xdr:colOff>3048000</xdr:colOff>
      <xdr:row>35</xdr:row>
      <xdr:rowOff>28575</xdr:rowOff>
    </xdr:from>
    <xdr:ext cx="1363345" cy="532130"/>
    <xdr:pic>
      <xdr:nvPicPr>
        <xdr:cNvPr id="13" name="image2.jpeg">
          <a:extLst>
            <a:ext uri="{FF2B5EF4-FFF2-40B4-BE49-F238E27FC236}">
              <a16:creationId xmlns:a16="http://schemas.microsoft.com/office/drawing/2014/main" id="{00000000-0008-0000-0900-00000D000000}"/>
            </a:ext>
          </a:extLst>
        </xdr:cNvPr>
        <xdr:cNvPicPr>
          <a:picLocks noChangeAspect="1"/>
        </xdr:cNvPicPr>
      </xdr:nvPicPr>
      <xdr:blipFill>
        <a:blip xmlns:r="http://schemas.openxmlformats.org/officeDocument/2006/relationships" r:embed="rId1" cstate="print"/>
        <a:stretch>
          <a:fillRect/>
        </a:stretch>
      </xdr:blipFill>
      <xdr:spPr>
        <a:xfrm>
          <a:off x="3048000" y="9467850"/>
          <a:ext cx="1363345" cy="532130"/>
        </a:xfrm>
        <a:prstGeom prst="rect">
          <a:avLst/>
        </a:prstGeom>
      </xdr:spPr>
    </xdr:pic>
    <xdr:clientData/>
  </xdr:oneCellAnchor>
  <xdr:oneCellAnchor>
    <xdr:from>
      <xdr:col>0</xdr:col>
      <xdr:colOff>3105150</xdr:colOff>
      <xdr:row>58</xdr:row>
      <xdr:rowOff>47625</xdr:rowOff>
    </xdr:from>
    <xdr:ext cx="1363345" cy="532130"/>
    <xdr:pic>
      <xdr:nvPicPr>
        <xdr:cNvPr id="14" name="image2.jpeg">
          <a:extLst>
            <a:ext uri="{FF2B5EF4-FFF2-40B4-BE49-F238E27FC236}">
              <a16:creationId xmlns:a16="http://schemas.microsoft.com/office/drawing/2014/main" id="{00000000-0008-0000-0900-00000E000000}"/>
            </a:ext>
          </a:extLst>
        </xdr:cNvPr>
        <xdr:cNvPicPr>
          <a:picLocks noChangeAspect="1"/>
        </xdr:cNvPicPr>
      </xdr:nvPicPr>
      <xdr:blipFill>
        <a:blip xmlns:r="http://schemas.openxmlformats.org/officeDocument/2006/relationships" r:embed="rId1" cstate="print"/>
        <a:stretch>
          <a:fillRect/>
        </a:stretch>
      </xdr:blipFill>
      <xdr:spPr>
        <a:xfrm>
          <a:off x="3105150" y="16944975"/>
          <a:ext cx="1363345" cy="532130"/>
        </a:xfrm>
        <a:prstGeom prst="rect">
          <a:avLst/>
        </a:prstGeom>
      </xdr:spPr>
    </xdr:pic>
    <xdr:clientData/>
  </xdr:oneCellAnchor>
  <xdr:oneCellAnchor>
    <xdr:from>
      <xdr:col>0</xdr:col>
      <xdr:colOff>3105150</xdr:colOff>
      <xdr:row>87</xdr:row>
      <xdr:rowOff>47625</xdr:rowOff>
    </xdr:from>
    <xdr:ext cx="1363345" cy="532130"/>
    <xdr:pic>
      <xdr:nvPicPr>
        <xdr:cNvPr id="15" name="image2.jpeg">
          <a:extLst>
            <a:ext uri="{FF2B5EF4-FFF2-40B4-BE49-F238E27FC236}">
              <a16:creationId xmlns:a16="http://schemas.microsoft.com/office/drawing/2014/main" id="{00000000-0008-0000-0900-00000F000000}"/>
            </a:ext>
          </a:extLst>
        </xdr:cNvPr>
        <xdr:cNvPicPr>
          <a:picLocks noChangeAspect="1"/>
        </xdr:cNvPicPr>
      </xdr:nvPicPr>
      <xdr:blipFill>
        <a:blip xmlns:r="http://schemas.openxmlformats.org/officeDocument/2006/relationships" r:embed="rId1" cstate="print"/>
        <a:stretch>
          <a:fillRect/>
        </a:stretch>
      </xdr:blipFill>
      <xdr:spPr>
        <a:xfrm>
          <a:off x="3105150" y="25441275"/>
          <a:ext cx="1363345" cy="532130"/>
        </a:xfrm>
        <a:prstGeom prst="rect">
          <a:avLst/>
        </a:prstGeom>
      </xdr:spPr>
    </xdr:pic>
    <xdr:clientData/>
  </xdr:oneCellAnchor>
  <xdr:oneCellAnchor>
    <xdr:from>
      <xdr:col>0</xdr:col>
      <xdr:colOff>3105150</xdr:colOff>
      <xdr:row>116</xdr:row>
      <xdr:rowOff>47625</xdr:rowOff>
    </xdr:from>
    <xdr:ext cx="1363345" cy="532130"/>
    <xdr:pic>
      <xdr:nvPicPr>
        <xdr:cNvPr id="16" name="image2.jpeg">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1" cstate="print"/>
        <a:stretch>
          <a:fillRect/>
        </a:stretch>
      </xdr:blipFill>
      <xdr:spPr>
        <a:xfrm>
          <a:off x="3105150" y="34928175"/>
          <a:ext cx="1363345" cy="532130"/>
        </a:xfrm>
        <a:prstGeom prst="rect">
          <a:avLst/>
        </a:prstGeom>
      </xdr:spPr>
    </xdr:pic>
    <xdr:clientData/>
  </xdr:oneCellAnchor>
  <xdr:oneCellAnchor>
    <xdr:from>
      <xdr:col>0</xdr:col>
      <xdr:colOff>3105150</xdr:colOff>
      <xdr:row>116</xdr:row>
      <xdr:rowOff>47625</xdr:rowOff>
    </xdr:from>
    <xdr:ext cx="1363345" cy="532130"/>
    <xdr:pic>
      <xdr:nvPicPr>
        <xdr:cNvPr id="17" name="image2.jpeg">
          <a:extLst>
            <a:ext uri="{FF2B5EF4-FFF2-40B4-BE49-F238E27FC236}">
              <a16:creationId xmlns:a16="http://schemas.microsoft.com/office/drawing/2014/main" id="{00000000-0008-0000-0900-000011000000}"/>
            </a:ext>
          </a:extLst>
        </xdr:cNvPr>
        <xdr:cNvPicPr>
          <a:picLocks noChangeAspect="1"/>
        </xdr:cNvPicPr>
      </xdr:nvPicPr>
      <xdr:blipFill>
        <a:blip xmlns:r="http://schemas.openxmlformats.org/officeDocument/2006/relationships" r:embed="rId1" cstate="print"/>
        <a:stretch>
          <a:fillRect/>
        </a:stretch>
      </xdr:blipFill>
      <xdr:spPr>
        <a:xfrm>
          <a:off x="3105150" y="34928175"/>
          <a:ext cx="1363345" cy="532130"/>
        </a:xfrm>
        <a:prstGeom prst="rect">
          <a:avLst/>
        </a:prstGeom>
      </xdr:spPr>
    </xdr:pic>
    <xdr:clientData/>
  </xdr:oneCellAnchor>
  <xdr:oneCellAnchor>
    <xdr:from>
      <xdr:col>0</xdr:col>
      <xdr:colOff>3105150</xdr:colOff>
      <xdr:row>142</xdr:row>
      <xdr:rowOff>47625</xdr:rowOff>
    </xdr:from>
    <xdr:ext cx="1363345" cy="532130"/>
    <xdr:pic>
      <xdr:nvPicPr>
        <xdr:cNvPr id="18" name="image2.jpeg">
          <a:extLst>
            <a:ext uri="{FF2B5EF4-FFF2-40B4-BE49-F238E27FC236}">
              <a16:creationId xmlns:a16="http://schemas.microsoft.com/office/drawing/2014/main" id="{00000000-0008-0000-0900-000012000000}"/>
            </a:ext>
          </a:extLst>
        </xdr:cNvPr>
        <xdr:cNvPicPr>
          <a:picLocks noChangeAspect="1"/>
        </xdr:cNvPicPr>
      </xdr:nvPicPr>
      <xdr:blipFill>
        <a:blip xmlns:r="http://schemas.openxmlformats.org/officeDocument/2006/relationships" r:embed="rId1" cstate="print"/>
        <a:stretch>
          <a:fillRect/>
        </a:stretch>
      </xdr:blipFill>
      <xdr:spPr>
        <a:xfrm>
          <a:off x="3105150" y="42929175"/>
          <a:ext cx="1363345" cy="532130"/>
        </a:xfrm>
        <a:prstGeom prst="rect">
          <a:avLst/>
        </a:prstGeom>
      </xdr:spPr>
    </xdr:pic>
    <xdr:clientData/>
  </xdr:oneCellAnchor>
  <xdr:oneCellAnchor>
    <xdr:from>
      <xdr:col>0</xdr:col>
      <xdr:colOff>3105150</xdr:colOff>
      <xdr:row>142</xdr:row>
      <xdr:rowOff>47625</xdr:rowOff>
    </xdr:from>
    <xdr:ext cx="1363345" cy="532130"/>
    <xdr:pic>
      <xdr:nvPicPr>
        <xdr:cNvPr id="19" name="image2.jpeg">
          <a:extLst>
            <a:ext uri="{FF2B5EF4-FFF2-40B4-BE49-F238E27FC236}">
              <a16:creationId xmlns:a16="http://schemas.microsoft.com/office/drawing/2014/main" id="{00000000-0008-0000-0900-000013000000}"/>
            </a:ext>
          </a:extLst>
        </xdr:cNvPr>
        <xdr:cNvPicPr>
          <a:picLocks noChangeAspect="1"/>
        </xdr:cNvPicPr>
      </xdr:nvPicPr>
      <xdr:blipFill>
        <a:blip xmlns:r="http://schemas.openxmlformats.org/officeDocument/2006/relationships" r:embed="rId1" cstate="print"/>
        <a:stretch>
          <a:fillRect/>
        </a:stretch>
      </xdr:blipFill>
      <xdr:spPr>
        <a:xfrm>
          <a:off x="3105150" y="42929175"/>
          <a:ext cx="1363345" cy="532130"/>
        </a:xfrm>
        <a:prstGeom prst="rect">
          <a:avLst/>
        </a:prstGeom>
      </xdr:spPr>
    </xdr:pic>
    <xdr:clientData/>
  </xdr:oneCellAnchor>
  <xdr:oneCellAnchor>
    <xdr:from>
      <xdr:col>0</xdr:col>
      <xdr:colOff>3105150</xdr:colOff>
      <xdr:row>166</xdr:row>
      <xdr:rowOff>47625</xdr:rowOff>
    </xdr:from>
    <xdr:ext cx="1363345" cy="532130"/>
    <xdr:pic>
      <xdr:nvPicPr>
        <xdr:cNvPr id="20" name="image2.jpeg">
          <a:extLst>
            <a:ext uri="{FF2B5EF4-FFF2-40B4-BE49-F238E27FC236}">
              <a16:creationId xmlns:a16="http://schemas.microsoft.com/office/drawing/2014/main" id="{00000000-0008-0000-0900-000014000000}"/>
            </a:ext>
          </a:extLst>
        </xdr:cNvPr>
        <xdr:cNvPicPr>
          <a:picLocks noChangeAspect="1"/>
        </xdr:cNvPicPr>
      </xdr:nvPicPr>
      <xdr:blipFill>
        <a:blip xmlns:r="http://schemas.openxmlformats.org/officeDocument/2006/relationships" r:embed="rId1" cstate="print"/>
        <a:stretch>
          <a:fillRect/>
        </a:stretch>
      </xdr:blipFill>
      <xdr:spPr>
        <a:xfrm>
          <a:off x="3105150" y="50434875"/>
          <a:ext cx="1363345" cy="532130"/>
        </a:xfrm>
        <a:prstGeom prst="rect">
          <a:avLst/>
        </a:prstGeom>
      </xdr:spPr>
    </xdr:pic>
    <xdr:clientData/>
  </xdr:oneCellAnchor>
  <xdr:oneCellAnchor>
    <xdr:from>
      <xdr:col>0</xdr:col>
      <xdr:colOff>3105150</xdr:colOff>
      <xdr:row>166</xdr:row>
      <xdr:rowOff>47625</xdr:rowOff>
    </xdr:from>
    <xdr:ext cx="1363345" cy="532130"/>
    <xdr:pic>
      <xdr:nvPicPr>
        <xdr:cNvPr id="21" name="image2.jpeg">
          <a:extLst>
            <a:ext uri="{FF2B5EF4-FFF2-40B4-BE49-F238E27FC236}">
              <a16:creationId xmlns:a16="http://schemas.microsoft.com/office/drawing/2014/main" id="{00000000-0008-0000-0900-000015000000}"/>
            </a:ext>
          </a:extLst>
        </xdr:cNvPr>
        <xdr:cNvPicPr>
          <a:picLocks noChangeAspect="1"/>
        </xdr:cNvPicPr>
      </xdr:nvPicPr>
      <xdr:blipFill>
        <a:blip xmlns:r="http://schemas.openxmlformats.org/officeDocument/2006/relationships" r:embed="rId1" cstate="print"/>
        <a:stretch>
          <a:fillRect/>
        </a:stretch>
      </xdr:blipFill>
      <xdr:spPr>
        <a:xfrm>
          <a:off x="3105150" y="50434875"/>
          <a:ext cx="1363345" cy="532130"/>
        </a:xfrm>
        <a:prstGeom prst="rect">
          <a:avLst/>
        </a:prstGeom>
      </xdr:spPr>
    </xdr:pic>
    <xdr:clientData/>
  </xdr:oneCellAnchor>
  <xdr:twoCellAnchor editAs="oneCell">
    <xdr:from>
      <xdr:col>0</xdr:col>
      <xdr:colOff>3124200</xdr:colOff>
      <xdr:row>0</xdr:row>
      <xdr:rowOff>47625</xdr:rowOff>
    </xdr:from>
    <xdr:to>
      <xdr:col>0</xdr:col>
      <xdr:colOff>4484370</xdr:colOff>
      <xdr:row>3</xdr:row>
      <xdr:rowOff>8255</xdr:rowOff>
    </xdr:to>
    <xdr:pic>
      <xdr:nvPicPr>
        <xdr:cNvPr id="22" name="image2.jpeg">
          <a:extLst>
            <a:ext uri="{FF2B5EF4-FFF2-40B4-BE49-F238E27FC236}">
              <a16:creationId xmlns:a16="http://schemas.microsoft.com/office/drawing/2014/main" id="{00000000-0008-0000-0900-000016000000}"/>
            </a:ext>
          </a:extLst>
        </xdr:cNvPr>
        <xdr:cNvPicPr>
          <a:picLocks noChangeAspect="1"/>
        </xdr:cNvPicPr>
      </xdr:nvPicPr>
      <xdr:blipFill>
        <a:blip xmlns:r="http://schemas.openxmlformats.org/officeDocument/2006/relationships" r:embed="rId1" cstate="print"/>
        <a:stretch>
          <a:fillRect/>
        </a:stretch>
      </xdr:blipFill>
      <xdr:spPr>
        <a:xfrm>
          <a:off x="3124200" y="47625"/>
          <a:ext cx="1360170" cy="532130"/>
        </a:xfrm>
        <a:prstGeom prst="rect">
          <a:avLst/>
        </a:prstGeom>
      </xdr:spPr>
    </xdr:pic>
    <xdr:clientData/>
  </xdr:twoCellAnchor>
  <xdr:oneCellAnchor>
    <xdr:from>
      <xdr:col>0</xdr:col>
      <xdr:colOff>3048000</xdr:colOff>
      <xdr:row>35</xdr:row>
      <xdr:rowOff>28575</xdr:rowOff>
    </xdr:from>
    <xdr:ext cx="1363345" cy="532130"/>
    <xdr:pic>
      <xdr:nvPicPr>
        <xdr:cNvPr id="23" name="image2.jpeg">
          <a:extLst>
            <a:ext uri="{FF2B5EF4-FFF2-40B4-BE49-F238E27FC236}">
              <a16:creationId xmlns:a16="http://schemas.microsoft.com/office/drawing/2014/main" id="{00000000-0008-0000-0900-000017000000}"/>
            </a:ext>
          </a:extLst>
        </xdr:cNvPr>
        <xdr:cNvPicPr>
          <a:picLocks noChangeAspect="1"/>
        </xdr:cNvPicPr>
      </xdr:nvPicPr>
      <xdr:blipFill>
        <a:blip xmlns:r="http://schemas.openxmlformats.org/officeDocument/2006/relationships" r:embed="rId1" cstate="print"/>
        <a:stretch>
          <a:fillRect/>
        </a:stretch>
      </xdr:blipFill>
      <xdr:spPr>
        <a:xfrm>
          <a:off x="3048000" y="9467850"/>
          <a:ext cx="1363345" cy="532130"/>
        </a:xfrm>
        <a:prstGeom prst="rect">
          <a:avLst/>
        </a:prstGeom>
      </xdr:spPr>
    </xdr:pic>
    <xdr:clientData/>
  </xdr:oneCellAnchor>
  <xdr:oneCellAnchor>
    <xdr:from>
      <xdr:col>0</xdr:col>
      <xdr:colOff>3105150</xdr:colOff>
      <xdr:row>58</xdr:row>
      <xdr:rowOff>47625</xdr:rowOff>
    </xdr:from>
    <xdr:ext cx="1363345" cy="532130"/>
    <xdr:pic>
      <xdr:nvPicPr>
        <xdr:cNvPr id="24" name="image2.jpeg">
          <a:extLst>
            <a:ext uri="{FF2B5EF4-FFF2-40B4-BE49-F238E27FC236}">
              <a16:creationId xmlns:a16="http://schemas.microsoft.com/office/drawing/2014/main" id="{00000000-0008-0000-0900-000018000000}"/>
            </a:ext>
          </a:extLst>
        </xdr:cNvPr>
        <xdr:cNvPicPr>
          <a:picLocks noChangeAspect="1"/>
        </xdr:cNvPicPr>
      </xdr:nvPicPr>
      <xdr:blipFill>
        <a:blip xmlns:r="http://schemas.openxmlformats.org/officeDocument/2006/relationships" r:embed="rId1" cstate="print"/>
        <a:stretch>
          <a:fillRect/>
        </a:stretch>
      </xdr:blipFill>
      <xdr:spPr>
        <a:xfrm>
          <a:off x="3105150" y="16944975"/>
          <a:ext cx="1363345" cy="532130"/>
        </a:xfrm>
        <a:prstGeom prst="rect">
          <a:avLst/>
        </a:prstGeom>
      </xdr:spPr>
    </xdr:pic>
    <xdr:clientData/>
  </xdr:oneCellAnchor>
  <xdr:oneCellAnchor>
    <xdr:from>
      <xdr:col>0</xdr:col>
      <xdr:colOff>3105150</xdr:colOff>
      <xdr:row>87</xdr:row>
      <xdr:rowOff>47625</xdr:rowOff>
    </xdr:from>
    <xdr:ext cx="1363345" cy="532130"/>
    <xdr:pic>
      <xdr:nvPicPr>
        <xdr:cNvPr id="25" name="image2.jpeg">
          <a:extLst>
            <a:ext uri="{FF2B5EF4-FFF2-40B4-BE49-F238E27FC236}">
              <a16:creationId xmlns:a16="http://schemas.microsoft.com/office/drawing/2014/main" id="{00000000-0008-0000-0900-000019000000}"/>
            </a:ext>
          </a:extLst>
        </xdr:cNvPr>
        <xdr:cNvPicPr>
          <a:picLocks noChangeAspect="1"/>
        </xdr:cNvPicPr>
      </xdr:nvPicPr>
      <xdr:blipFill>
        <a:blip xmlns:r="http://schemas.openxmlformats.org/officeDocument/2006/relationships" r:embed="rId1" cstate="print"/>
        <a:stretch>
          <a:fillRect/>
        </a:stretch>
      </xdr:blipFill>
      <xdr:spPr>
        <a:xfrm>
          <a:off x="3105150" y="25441275"/>
          <a:ext cx="1363345" cy="532130"/>
        </a:xfrm>
        <a:prstGeom prst="rect">
          <a:avLst/>
        </a:prstGeom>
      </xdr:spPr>
    </xdr:pic>
    <xdr:clientData/>
  </xdr:oneCellAnchor>
  <xdr:oneCellAnchor>
    <xdr:from>
      <xdr:col>0</xdr:col>
      <xdr:colOff>3105150</xdr:colOff>
      <xdr:row>116</xdr:row>
      <xdr:rowOff>47625</xdr:rowOff>
    </xdr:from>
    <xdr:ext cx="1363345" cy="532130"/>
    <xdr:pic>
      <xdr:nvPicPr>
        <xdr:cNvPr id="26" name="image2.jpeg">
          <a:extLst>
            <a:ext uri="{FF2B5EF4-FFF2-40B4-BE49-F238E27FC236}">
              <a16:creationId xmlns:a16="http://schemas.microsoft.com/office/drawing/2014/main" id="{00000000-0008-0000-0900-00001A000000}"/>
            </a:ext>
          </a:extLst>
        </xdr:cNvPr>
        <xdr:cNvPicPr>
          <a:picLocks noChangeAspect="1"/>
        </xdr:cNvPicPr>
      </xdr:nvPicPr>
      <xdr:blipFill>
        <a:blip xmlns:r="http://schemas.openxmlformats.org/officeDocument/2006/relationships" r:embed="rId1" cstate="print"/>
        <a:stretch>
          <a:fillRect/>
        </a:stretch>
      </xdr:blipFill>
      <xdr:spPr>
        <a:xfrm>
          <a:off x="3105150" y="34928175"/>
          <a:ext cx="1363345" cy="532130"/>
        </a:xfrm>
        <a:prstGeom prst="rect">
          <a:avLst/>
        </a:prstGeom>
      </xdr:spPr>
    </xdr:pic>
    <xdr:clientData/>
  </xdr:oneCellAnchor>
  <xdr:oneCellAnchor>
    <xdr:from>
      <xdr:col>0</xdr:col>
      <xdr:colOff>3105150</xdr:colOff>
      <xdr:row>116</xdr:row>
      <xdr:rowOff>47625</xdr:rowOff>
    </xdr:from>
    <xdr:ext cx="1363345" cy="532130"/>
    <xdr:pic>
      <xdr:nvPicPr>
        <xdr:cNvPr id="27" name="image2.jpeg">
          <a:extLst>
            <a:ext uri="{FF2B5EF4-FFF2-40B4-BE49-F238E27FC236}">
              <a16:creationId xmlns:a16="http://schemas.microsoft.com/office/drawing/2014/main" id="{00000000-0008-0000-0900-00001B000000}"/>
            </a:ext>
          </a:extLst>
        </xdr:cNvPr>
        <xdr:cNvPicPr>
          <a:picLocks noChangeAspect="1"/>
        </xdr:cNvPicPr>
      </xdr:nvPicPr>
      <xdr:blipFill>
        <a:blip xmlns:r="http://schemas.openxmlformats.org/officeDocument/2006/relationships" r:embed="rId1" cstate="print"/>
        <a:stretch>
          <a:fillRect/>
        </a:stretch>
      </xdr:blipFill>
      <xdr:spPr>
        <a:xfrm>
          <a:off x="3105150" y="34928175"/>
          <a:ext cx="1363345" cy="532130"/>
        </a:xfrm>
        <a:prstGeom prst="rect">
          <a:avLst/>
        </a:prstGeom>
      </xdr:spPr>
    </xdr:pic>
    <xdr:clientData/>
  </xdr:oneCellAnchor>
  <xdr:oneCellAnchor>
    <xdr:from>
      <xdr:col>0</xdr:col>
      <xdr:colOff>3105150</xdr:colOff>
      <xdr:row>142</xdr:row>
      <xdr:rowOff>47625</xdr:rowOff>
    </xdr:from>
    <xdr:ext cx="1363345" cy="532130"/>
    <xdr:pic>
      <xdr:nvPicPr>
        <xdr:cNvPr id="28" name="image2.jpeg">
          <a:extLst>
            <a:ext uri="{FF2B5EF4-FFF2-40B4-BE49-F238E27FC236}">
              <a16:creationId xmlns:a16="http://schemas.microsoft.com/office/drawing/2014/main" id="{00000000-0008-0000-0900-00001C000000}"/>
            </a:ext>
          </a:extLst>
        </xdr:cNvPr>
        <xdr:cNvPicPr>
          <a:picLocks noChangeAspect="1"/>
        </xdr:cNvPicPr>
      </xdr:nvPicPr>
      <xdr:blipFill>
        <a:blip xmlns:r="http://schemas.openxmlformats.org/officeDocument/2006/relationships" r:embed="rId1" cstate="print"/>
        <a:stretch>
          <a:fillRect/>
        </a:stretch>
      </xdr:blipFill>
      <xdr:spPr>
        <a:xfrm>
          <a:off x="3105150" y="42929175"/>
          <a:ext cx="1363345" cy="532130"/>
        </a:xfrm>
        <a:prstGeom prst="rect">
          <a:avLst/>
        </a:prstGeom>
      </xdr:spPr>
    </xdr:pic>
    <xdr:clientData/>
  </xdr:oneCellAnchor>
  <xdr:oneCellAnchor>
    <xdr:from>
      <xdr:col>0</xdr:col>
      <xdr:colOff>3105150</xdr:colOff>
      <xdr:row>142</xdr:row>
      <xdr:rowOff>47625</xdr:rowOff>
    </xdr:from>
    <xdr:ext cx="1363345" cy="532130"/>
    <xdr:pic>
      <xdr:nvPicPr>
        <xdr:cNvPr id="29" name="image2.jpeg">
          <a:extLst>
            <a:ext uri="{FF2B5EF4-FFF2-40B4-BE49-F238E27FC236}">
              <a16:creationId xmlns:a16="http://schemas.microsoft.com/office/drawing/2014/main" id="{00000000-0008-0000-0900-00001D000000}"/>
            </a:ext>
          </a:extLst>
        </xdr:cNvPr>
        <xdr:cNvPicPr>
          <a:picLocks noChangeAspect="1"/>
        </xdr:cNvPicPr>
      </xdr:nvPicPr>
      <xdr:blipFill>
        <a:blip xmlns:r="http://schemas.openxmlformats.org/officeDocument/2006/relationships" r:embed="rId1" cstate="print"/>
        <a:stretch>
          <a:fillRect/>
        </a:stretch>
      </xdr:blipFill>
      <xdr:spPr>
        <a:xfrm>
          <a:off x="3105150" y="42929175"/>
          <a:ext cx="1363345" cy="532130"/>
        </a:xfrm>
        <a:prstGeom prst="rect">
          <a:avLst/>
        </a:prstGeom>
      </xdr:spPr>
    </xdr:pic>
    <xdr:clientData/>
  </xdr:oneCellAnchor>
  <xdr:oneCellAnchor>
    <xdr:from>
      <xdr:col>0</xdr:col>
      <xdr:colOff>3105150</xdr:colOff>
      <xdr:row>166</xdr:row>
      <xdr:rowOff>47625</xdr:rowOff>
    </xdr:from>
    <xdr:ext cx="1363345" cy="532130"/>
    <xdr:pic>
      <xdr:nvPicPr>
        <xdr:cNvPr id="30" name="image2.jpeg">
          <a:extLst>
            <a:ext uri="{FF2B5EF4-FFF2-40B4-BE49-F238E27FC236}">
              <a16:creationId xmlns:a16="http://schemas.microsoft.com/office/drawing/2014/main" id="{00000000-0008-0000-0900-00001E000000}"/>
            </a:ext>
          </a:extLst>
        </xdr:cNvPr>
        <xdr:cNvPicPr>
          <a:picLocks noChangeAspect="1"/>
        </xdr:cNvPicPr>
      </xdr:nvPicPr>
      <xdr:blipFill>
        <a:blip xmlns:r="http://schemas.openxmlformats.org/officeDocument/2006/relationships" r:embed="rId1" cstate="print"/>
        <a:stretch>
          <a:fillRect/>
        </a:stretch>
      </xdr:blipFill>
      <xdr:spPr>
        <a:xfrm>
          <a:off x="3105150" y="50434875"/>
          <a:ext cx="1363345" cy="532130"/>
        </a:xfrm>
        <a:prstGeom prst="rect">
          <a:avLst/>
        </a:prstGeom>
      </xdr:spPr>
    </xdr:pic>
    <xdr:clientData/>
  </xdr:oneCellAnchor>
  <xdr:oneCellAnchor>
    <xdr:from>
      <xdr:col>0</xdr:col>
      <xdr:colOff>3105150</xdr:colOff>
      <xdr:row>166</xdr:row>
      <xdr:rowOff>47625</xdr:rowOff>
    </xdr:from>
    <xdr:ext cx="1363345" cy="532130"/>
    <xdr:pic>
      <xdr:nvPicPr>
        <xdr:cNvPr id="31" name="image2.jpeg">
          <a:extLst>
            <a:ext uri="{FF2B5EF4-FFF2-40B4-BE49-F238E27FC236}">
              <a16:creationId xmlns:a16="http://schemas.microsoft.com/office/drawing/2014/main" id="{00000000-0008-0000-0900-00001F000000}"/>
            </a:ext>
          </a:extLst>
        </xdr:cNvPr>
        <xdr:cNvPicPr>
          <a:picLocks noChangeAspect="1"/>
        </xdr:cNvPicPr>
      </xdr:nvPicPr>
      <xdr:blipFill>
        <a:blip xmlns:r="http://schemas.openxmlformats.org/officeDocument/2006/relationships" r:embed="rId1" cstate="print"/>
        <a:stretch>
          <a:fillRect/>
        </a:stretch>
      </xdr:blipFill>
      <xdr:spPr>
        <a:xfrm>
          <a:off x="3105150" y="50434875"/>
          <a:ext cx="1363345" cy="532130"/>
        </a:xfrm>
        <a:prstGeom prst="rect">
          <a:avLst/>
        </a:prstGeom>
      </xdr:spPr>
    </xdr:pic>
    <xdr:clientData/>
  </xdr:oneCellAnchor>
  <xdr:oneCellAnchor>
    <xdr:from>
      <xdr:col>0</xdr:col>
      <xdr:colOff>3089275</xdr:colOff>
      <xdr:row>208</xdr:row>
      <xdr:rowOff>47625</xdr:rowOff>
    </xdr:from>
    <xdr:ext cx="1363345" cy="532130"/>
    <xdr:pic>
      <xdr:nvPicPr>
        <xdr:cNvPr id="35" name="image2.jpeg">
          <a:extLst>
            <a:ext uri="{FF2B5EF4-FFF2-40B4-BE49-F238E27FC236}">
              <a16:creationId xmlns:a16="http://schemas.microsoft.com/office/drawing/2014/main" id="{00000000-0008-0000-0900-000023000000}"/>
            </a:ext>
          </a:extLst>
        </xdr:cNvPr>
        <xdr:cNvPicPr>
          <a:picLocks noChangeAspect="1"/>
        </xdr:cNvPicPr>
      </xdr:nvPicPr>
      <xdr:blipFill>
        <a:blip xmlns:r="http://schemas.openxmlformats.org/officeDocument/2006/relationships" r:embed="rId1" cstate="print"/>
        <a:stretch>
          <a:fillRect/>
        </a:stretch>
      </xdr:blipFill>
      <xdr:spPr>
        <a:xfrm>
          <a:off x="3089275" y="62436375"/>
          <a:ext cx="1363345" cy="532130"/>
        </a:xfrm>
        <a:prstGeom prst="rect">
          <a:avLst/>
        </a:prstGeom>
      </xdr:spPr>
    </xdr:pic>
    <xdr:clientData/>
  </xdr:oneCellAnchor>
  <xdr:oneCellAnchor>
    <xdr:from>
      <xdr:col>0</xdr:col>
      <xdr:colOff>3105150</xdr:colOff>
      <xdr:row>246</xdr:row>
      <xdr:rowOff>127000</xdr:rowOff>
    </xdr:from>
    <xdr:ext cx="1363345" cy="532130"/>
    <xdr:pic>
      <xdr:nvPicPr>
        <xdr:cNvPr id="38" name="image2.jpeg">
          <a:extLst>
            <a:ext uri="{FF2B5EF4-FFF2-40B4-BE49-F238E27FC236}">
              <a16:creationId xmlns:a16="http://schemas.microsoft.com/office/drawing/2014/main" id="{00000000-0008-0000-0900-000026000000}"/>
            </a:ext>
          </a:extLst>
        </xdr:cNvPr>
        <xdr:cNvPicPr>
          <a:picLocks noChangeAspect="1"/>
        </xdr:cNvPicPr>
      </xdr:nvPicPr>
      <xdr:blipFill>
        <a:blip xmlns:r="http://schemas.openxmlformats.org/officeDocument/2006/relationships" r:embed="rId1" cstate="print"/>
        <a:stretch>
          <a:fillRect/>
        </a:stretch>
      </xdr:blipFill>
      <xdr:spPr>
        <a:xfrm>
          <a:off x="3105150" y="72231250"/>
          <a:ext cx="1363345" cy="532130"/>
        </a:xfrm>
        <a:prstGeom prst="rect">
          <a:avLst/>
        </a:prstGeom>
      </xdr:spPr>
    </xdr:pic>
    <xdr:clientData/>
  </xdr:oneCellAnchor>
  <xdr:oneCellAnchor>
    <xdr:from>
      <xdr:col>0</xdr:col>
      <xdr:colOff>3105150</xdr:colOff>
      <xdr:row>277</xdr:row>
      <xdr:rowOff>127000</xdr:rowOff>
    </xdr:from>
    <xdr:ext cx="1363345" cy="532130"/>
    <xdr:pic>
      <xdr:nvPicPr>
        <xdr:cNvPr id="33" name="image2.jpeg">
          <a:extLst>
            <a:ext uri="{FF2B5EF4-FFF2-40B4-BE49-F238E27FC236}">
              <a16:creationId xmlns:a16="http://schemas.microsoft.com/office/drawing/2014/main" id="{00000000-0008-0000-0900-000021000000}"/>
            </a:ext>
          </a:extLst>
        </xdr:cNvPr>
        <xdr:cNvPicPr>
          <a:picLocks noChangeAspect="1"/>
        </xdr:cNvPicPr>
      </xdr:nvPicPr>
      <xdr:blipFill>
        <a:blip xmlns:r="http://schemas.openxmlformats.org/officeDocument/2006/relationships" r:embed="rId1" cstate="print"/>
        <a:stretch>
          <a:fillRect/>
        </a:stretch>
      </xdr:blipFill>
      <xdr:spPr>
        <a:xfrm>
          <a:off x="3105150" y="71580375"/>
          <a:ext cx="1363345" cy="532130"/>
        </a:xfrm>
        <a:prstGeom prst="rect">
          <a:avLst/>
        </a:prstGeom>
      </xdr:spPr>
    </xdr:pic>
    <xdr:clientData/>
  </xdr:oneCellAnchor>
  <xdr:oneCellAnchor>
    <xdr:from>
      <xdr:col>0</xdr:col>
      <xdr:colOff>3105150</xdr:colOff>
      <xdr:row>294</xdr:row>
      <xdr:rowOff>127000</xdr:rowOff>
    </xdr:from>
    <xdr:ext cx="1363345" cy="532130"/>
    <xdr:pic>
      <xdr:nvPicPr>
        <xdr:cNvPr id="34" name="image2.jpeg">
          <a:extLst>
            <a:ext uri="{FF2B5EF4-FFF2-40B4-BE49-F238E27FC236}">
              <a16:creationId xmlns:a16="http://schemas.microsoft.com/office/drawing/2014/main" id="{00000000-0008-0000-0900-000022000000}"/>
            </a:ext>
          </a:extLst>
        </xdr:cNvPr>
        <xdr:cNvPicPr>
          <a:picLocks noChangeAspect="1"/>
        </xdr:cNvPicPr>
      </xdr:nvPicPr>
      <xdr:blipFill>
        <a:blip xmlns:r="http://schemas.openxmlformats.org/officeDocument/2006/relationships" r:embed="rId1" cstate="print"/>
        <a:stretch>
          <a:fillRect/>
        </a:stretch>
      </xdr:blipFill>
      <xdr:spPr>
        <a:xfrm>
          <a:off x="3105150" y="80279875"/>
          <a:ext cx="1363345" cy="532130"/>
        </a:xfrm>
        <a:prstGeom prst="rect">
          <a:avLst/>
        </a:prstGeom>
      </xdr:spPr>
    </xdr:pic>
    <xdr:clientData/>
  </xdr:oneCellAnchor>
  <xdr:oneCellAnchor>
    <xdr:from>
      <xdr:col>0</xdr:col>
      <xdr:colOff>3105150</xdr:colOff>
      <xdr:row>329</xdr:row>
      <xdr:rowOff>127000</xdr:rowOff>
    </xdr:from>
    <xdr:ext cx="1363345" cy="532130"/>
    <xdr:pic>
      <xdr:nvPicPr>
        <xdr:cNvPr id="36" name="image2.jpeg">
          <a:extLst>
            <a:ext uri="{FF2B5EF4-FFF2-40B4-BE49-F238E27FC236}">
              <a16:creationId xmlns:a16="http://schemas.microsoft.com/office/drawing/2014/main" id="{00000000-0008-0000-0900-000024000000}"/>
            </a:ext>
          </a:extLst>
        </xdr:cNvPr>
        <xdr:cNvPicPr>
          <a:picLocks noChangeAspect="1"/>
        </xdr:cNvPicPr>
      </xdr:nvPicPr>
      <xdr:blipFill>
        <a:blip xmlns:r="http://schemas.openxmlformats.org/officeDocument/2006/relationships" r:embed="rId1" cstate="print"/>
        <a:stretch>
          <a:fillRect/>
        </a:stretch>
      </xdr:blipFill>
      <xdr:spPr>
        <a:xfrm>
          <a:off x="3105150" y="84915375"/>
          <a:ext cx="1363345" cy="532130"/>
        </a:xfrm>
        <a:prstGeom prst="rect">
          <a:avLst/>
        </a:prstGeom>
      </xdr:spPr>
    </xdr:pic>
    <xdr:clientData/>
  </xdr:oneCellAnchor>
  <xdr:oneCellAnchor>
    <xdr:from>
      <xdr:col>0</xdr:col>
      <xdr:colOff>3105150</xdr:colOff>
      <xdr:row>198</xdr:row>
      <xdr:rowOff>47625</xdr:rowOff>
    </xdr:from>
    <xdr:ext cx="1363345" cy="532130"/>
    <xdr:pic>
      <xdr:nvPicPr>
        <xdr:cNvPr id="37" name="image2.jpeg">
          <a:extLst>
            <a:ext uri="{FF2B5EF4-FFF2-40B4-BE49-F238E27FC236}">
              <a16:creationId xmlns:a16="http://schemas.microsoft.com/office/drawing/2014/main" id="{00000000-0008-0000-0900-000025000000}"/>
            </a:ext>
          </a:extLst>
        </xdr:cNvPr>
        <xdr:cNvPicPr>
          <a:picLocks noChangeAspect="1"/>
        </xdr:cNvPicPr>
      </xdr:nvPicPr>
      <xdr:blipFill>
        <a:blip xmlns:r="http://schemas.openxmlformats.org/officeDocument/2006/relationships" r:embed="rId1" cstate="print"/>
        <a:stretch>
          <a:fillRect/>
        </a:stretch>
      </xdr:blipFill>
      <xdr:spPr>
        <a:xfrm>
          <a:off x="3105150" y="51641375"/>
          <a:ext cx="1363345" cy="532130"/>
        </a:xfrm>
        <a:prstGeom prst="rect">
          <a:avLst/>
        </a:prstGeom>
      </xdr:spPr>
    </xdr:pic>
    <xdr:clientData/>
  </xdr:oneCellAnchor>
  <xdr:oneCellAnchor>
    <xdr:from>
      <xdr:col>0</xdr:col>
      <xdr:colOff>3105150</xdr:colOff>
      <xdr:row>198</xdr:row>
      <xdr:rowOff>47625</xdr:rowOff>
    </xdr:from>
    <xdr:ext cx="1363345" cy="532130"/>
    <xdr:pic>
      <xdr:nvPicPr>
        <xdr:cNvPr id="39" name="image2.jpeg">
          <a:extLst>
            <a:ext uri="{FF2B5EF4-FFF2-40B4-BE49-F238E27FC236}">
              <a16:creationId xmlns:a16="http://schemas.microsoft.com/office/drawing/2014/main" id="{00000000-0008-0000-0900-000027000000}"/>
            </a:ext>
          </a:extLst>
        </xdr:cNvPr>
        <xdr:cNvPicPr>
          <a:picLocks noChangeAspect="1"/>
        </xdr:cNvPicPr>
      </xdr:nvPicPr>
      <xdr:blipFill>
        <a:blip xmlns:r="http://schemas.openxmlformats.org/officeDocument/2006/relationships" r:embed="rId1" cstate="print"/>
        <a:stretch>
          <a:fillRect/>
        </a:stretch>
      </xdr:blipFill>
      <xdr:spPr>
        <a:xfrm>
          <a:off x="3105150" y="51641375"/>
          <a:ext cx="1363345" cy="532130"/>
        </a:xfrm>
        <a:prstGeom prst="rect">
          <a:avLst/>
        </a:prstGeom>
      </xdr:spPr>
    </xdr:pic>
    <xdr:clientData/>
  </xdr:oneCellAnchor>
  <xdr:oneCellAnchor>
    <xdr:from>
      <xdr:col>0</xdr:col>
      <xdr:colOff>3105150</xdr:colOff>
      <xdr:row>198</xdr:row>
      <xdr:rowOff>47625</xdr:rowOff>
    </xdr:from>
    <xdr:ext cx="1363345" cy="532130"/>
    <xdr:pic>
      <xdr:nvPicPr>
        <xdr:cNvPr id="40" name="image2.jpeg">
          <a:extLst>
            <a:ext uri="{FF2B5EF4-FFF2-40B4-BE49-F238E27FC236}">
              <a16:creationId xmlns:a16="http://schemas.microsoft.com/office/drawing/2014/main" id="{00000000-0008-0000-0900-000028000000}"/>
            </a:ext>
          </a:extLst>
        </xdr:cNvPr>
        <xdr:cNvPicPr>
          <a:picLocks noChangeAspect="1"/>
        </xdr:cNvPicPr>
      </xdr:nvPicPr>
      <xdr:blipFill>
        <a:blip xmlns:r="http://schemas.openxmlformats.org/officeDocument/2006/relationships" r:embed="rId1" cstate="print"/>
        <a:stretch>
          <a:fillRect/>
        </a:stretch>
      </xdr:blipFill>
      <xdr:spPr>
        <a:xfrm>
          <a:off x="3105150" y="51641375"/>
          <a:ext cx="1363345" cy="532130"/>
        </a:xfrm>
        <a:prstGeom prst="rect">
          <a:avLst/>
        </a:prstGeom>
      </xdr:spPr>
    </xdr:pic>
    <xdr:clientData/>
  </xdr:oneCellAnchor>
  <xdr:oneCellAnchor>
    <xdr:from>
      <xdr:col>0</xdr:col>
      <xdr:colOff>3105150</xdr:colOff>
      <xdr:row>198</xdr:row>
      <xdr:rowOff>47625</xdr:rowOff>
    </xdr:from>
    <xdr:ext cx="1363345" cy="532130"/>
    <xdr:pic>
      <xdr:nvPicPr>
        <xdr:cNvPr id="41" name="image2.jpeg">
          <a:extLst>
            <a:ext uri="{FF2B5EF4-FFF2-40B4-BE49-F238E27FC236}">
              <a16:creationId xmlns:a16="http://schemas.microsoft.com/office/drawing/2014/main" id="{00000000-0008-0000-0900-000029000000}"/>
            </a:ext>
          </a:extLst>
        </xdr:cNvPr>
        <xdr:cNvPicPr>
          <a:picLocks noChangeAspect="1"/>
        </xdr:cNvPicPr>
      </xdr:nvPicPr>
      <xdr:blipFill>
        <a:blip xmlns:r="http://schemas.openxmlformats.org/officeDocument/2006/relationships" r:embed="rId1" cstate="print"/>
        <a:stretch>
          <a:fillRect/>
        </a:stretch>
      </xdr:blipFill>
      <xdr:spPr>
        <a:xfrm>
          <a:off x="3105150" y="51641375"/>
          <a:ext cx="1363345" cy="532130"/>
        </a:xfrm>
        <a:prstGeom prst="rect">
          <a:avLst/>
        </a:prstGeom>
      </xdr:spPr>
    </xdr:pic>
    <xdr:clientData/>
  </xdr:oneCellAnchor>
  <xdr:oneCellAnchor>
    <xdr:from>
      <xdr:col>0</xdr:col>
      <xdr:colOff>3105150</xdr:colOff>
      <xdr:row>198</xdr:row>
      <xdr:rowOff>47625</xdr:rowOff>
    </xdr:from>
    <xdr:ext cx="1363345" cy="532130"/>
    <xdr:pic>
      <xdr:nvPicPr>
        <xdr:cNvPr id="42" name="image2.jpeg">
          <a:extLst>
            <a:ext uri="{FF2B5EF4-FFF2-40B4-BE49-F238E27FC236}">
              <a16:creationId xmlns:a16="http://schemas.microsoft.com/office/drawing/2014/main" id="{00000000-0008-0000-0900-00002A000000}"/>
            </a:ext>
          </a:extLst>
        </xdr:cNvPr>
        <xdr:cNvPicPr>
          <a:picLocks noChangeAspect="1"/>
        </xdr:cNvPicPr>
      </xdr:nvPicPr>
      <xdr:blipFill>
        <a:blip xmlns:r="http://schemas.openxmlformats.org/officeDocument/2006/relationships" r:embed="rId1" cstate="print"/>
        <a:stretch>
          <a:fillRect/>
        </a:stretch>
      </xdr:blipFill>
      <xdr:spPr>
        <a:xfrm>
          <a:off x="3105150" y="51641375"/>
          <a:ext cx="1363345" cy="532130"/>
        </a:xfrm>
        <a:prstGeom prst="rect">
          <a:avLst/>
        </a:prstGeom>
      </xdr:spPr>
    </xdr:pic>
    <xdr:clientData/>
  </xdr:oneCellAnchor>
  <xdr:oneCellAnchor>
    <xdr:from>
      <xdr:col>0</xdr:col>
      <xdr:colOff>3105150</xdr:colOff>
      <xdr:row>198</xdr:row>
      <xdr:rowOff>47625</xdr:rowOff>
    </xdr:from>
    <xdr:ext cx="1363345" cy="532130"/>
    <xdr:pic>
      <xdr:nvPicPr>
        <xdr:cNvPr id="43" name="image2.jpeg">
          <a:extLst>
            <a:ext uri="{FF2B5EF4-FFF2-40B4-BE49-F238E27FC236}">
              <a16:creationId xmlns:a16="http://schemas.microsoft.com/office/drawing/2014/main" id="{00000000-0008-0000-0900-00002B000000}"/>
            </a:ext>
          </a:extLst>
        </xdr:cNvPr>
        <xdr:cNvPicPr>
          <a:picLocks noChangeAspect="1"/>
        </xdr:cNvPicPr>
      </xdr:nvPicPr>
      <xdr:blipFill>
        <a:blip xmlns:r="http://schemas.openxmlformats.org/officeDocument/2006/relationships" r:embed="rId1" cstate="print"/>
        <a:stretch>
          <a:fillRect/>
        </a:stretch>
      </xdr:blipFill>
      <xdr:spPr>
        <a:xfrm>
          <a:off x="3105150" y="51641375"/>
          <a:ext cx="1363345" cy="532130"/>
        </a:xfrm>
        <a:prstGeom prst="rect">
          <a:avLst/>
        </a:prstGeom>
      </xdr:spPr>
    </xdr:pic>
    <xdr:clientData/>
  </xdr:oneCellAnchor>
  <xdr:oneCellAnchor>
    <xdr:from>
      <xdr:col>0</xdr:col>
      <xdr:colOff>3105150</xdr:colOff>
      <xdr:row>360</xdr:row>
      <xdr:rowOff>127000</xdr:rowOff>
    </xdr:from>
    <xdr:ext cx="1363345" cy="532130"/>
    <xdr:pic>
      <xdr:nvPicPr>
        <xdr:cNvPr id="44" name="image2.jpeg">
          <a:extLst>
            <a:ext uri="{FF2B5EF4-FFF2-40B4-BE49-F238E27FC236}">
              <a16:creationId xmlns:a16="http://schemas.microsoft.com/office/drawing/2014/main" id="{00000000-0008-0000-0900-00002C000000}"/>
            </a:ext>
          </a:extLst>
        </xdr:cNvPr>
        <xdr:cNvPicPr>
          <a:picLocks noChangeAspect="1"/>
        </xdr:cNvPicPr>
      </xdr:nvPicPr>
      <xdr:blipFill>
        <a:blip xmlns:r="http://schemas.openxmlformats.org/officeDocument/2006/relationships" r:embed="rId1" cstate="print"/>
        <a:stretch>
          <a:fillRect/>
        </a:stretch>
      </xdr:blipFill>
      <xdr:spPr>
        <a:xfrm>
          <a:off x="3105150" y="93005275"/>
          <a:ext cx="1363345" cy="53213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2</xdr:col>
      <xdr:colOff>2940562</xdr:colOff>
      <xdr:row>394</xdr:row>
      <xdr:rowOff>43815</xdr:rowOff>
    </xdr:from>
    <xdr:to>
      <xdr:col>5</xdr:col>
      <xdr:colOff>110490</xdr:colOff>
      <xdr:row>399</xdr:row>
      <xdr:rowOff>0</xdr:rowOff>
    </xdr:to>
    <xdr:pic>
      <xdr:nvPicPr>
        <xdr:cNvPr id="2" name="Picture 5">
          <a:extLst>
            <a:ext uri="{FF2B5EF4-FFF2-40B4-BE49-F238E27FC236}">
              <a16:creationId xmlns:a16="http://schemas.microsoft.com/office/drawing/2014/main" id="{00000000-0008-0000-0D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188337" y="69014340"/>
          <a:ext cx="1827653" cy="908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34290</xdr:colOff>
      <xdr:row>42</xdr:row>
      <xdr:rowOff>36197</xdr:rowOff>
    </xdr:from>
    <xdr:to>
      <xdr:col>5</xdr:col>
      <xdr:colOff>628650</xdr:colOff>
      <xdr:row>44</xdr:row>
      <xdr:rowOff>285751</xdr:rowOff>
    </xdr:to>
    <xdr:pic>
      <xdr:nvPicPr>
        <xdr:cNvPr id="3" name="Picture 6">
          <a:extLst>
            <a:ext uri="{FF2B5EF4-FFF2-40B4-BE49-F238E27FC236}">
              <a16:creationId xmlns:a16="http://schemas.microsoft.com/office/drawing/2014/main" id="{00000000-0008-0000-0D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168265" y="9656447"/>
          <a:ext cx="1908810" cy="76390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3088005</xdr:colOff>
      <xdr:row>1</xdr:row>
      <xdr:rowOff>41911</xdr:rowOff>
    </xdr:from>
    <xdr:to>
      <xdr:col>5</xdr:col>
      <xdr:colOff>512445</xdr:colOff>
      <xdr:row>3</xdr:row>
      <xdr:rowOff>361951</xdr:rowOff>
    </xdr:to>
    <xdr:pic>
      <xdr:nvPicPr>
        <xdr:cNvPr id="4" name="Picture 7">
          <a:extLst>
            <a:ext uri="{FF2B5EF4-FFF2-40B4-BE49-F238E27FC236}">
              <a16:creationId xmlns:a16="http://schemas.microsoft.com/office/drawing/2014/main" id="{00000000-0008-0000-0D00-000004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335780" y="270511"/>
          <a:ext cx="2082165" cy="777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57150</xdr:colOff>
      <xdr:row>182</xdr:row>
      <xdr:rowOff>28575</xdr:rowOff>
    </xdr:from>
    <xdr:to>
      <xdr:col>3</xdr:col>
      <xdr:colOff>0</xdr:colOff>
      <xdr:row>183</xdr:row>
      <xdr:rowOff>133350</xdr:rowOff>
    </xdr:to>
    <xdr:sp macro="" textlink="">
      <xdr:nvSpPr>
        <xdr:cNvPr id="5" name="ComboBox1" hidden="1">
          <a:extLst>
            <a:ext uri="{63B3BB69-23CF-44E3-9099-C40C66FF867C}">
              <a14:compatExt xmlns:a14="http://schemas.microsoft.com/office/drawing/2010/main" spid="_x0000_s1025"/>
            </a:ext>
            <a:ext uri="{FF2B5EF4-FFF2-40B4-BE49-F238E27FC236}">
              <a16:creationId xmlns:a16="http://schemas.microsoft.com/office/drawing/2014/main" id="{00000000-0008-0000-0D00-000005000000}"/>
            </a:ext>
          </a:extLst>
        </xdr:cNvPr>
        <xdr:cNvSpPr/>
      </xdr:nvSpPr>
      <xdr:spPr bwMode="auto">
        <a:xfrm>
          <a:off x="1304925" y="44557950"/>
          <a:ext cx="3324225" cy="295275"/>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7</xdr:col>
      <xdr:colOff>19050</xdr:colOff>
      <xdr:row>174</xdr:row>
      <xdr:rowOff>76200</xdr:rowOff>
    </xdr:from>
    <xdr:to>
      <xdr:col>7</xdr:col>
      <xdr:colOff>3446145</xdr:colOff>
      <xdr:row>176</xdr:row>
      <xdr:rowOff>133350</xdr:rowOff>
    </xdr:to>
    <xdr:sp macro="" textlink="">
      <xdr:nvSpPr>
        <xdr:cNvPr id="6" name="ComboBox2" hidden="1">
          <a:extLst>
            <a:ext uri="{63B3BB69-23CF-44E3-9099-C40C66FF867C}">
              <a14:compatExt xmlns:a14="http://schemas.microsoft.com/office/drawing/2010/main" spid="_x0000_s1026"/>
            </a:ext>
            <a:ext uri="{FF2B5EF4-FFF2-40B4-BE49-F238E27FC236}">
              <a16:creationId xmlns:a16="http://schemas.microsoft.com/office/drawing/2014/main" id="{00000000-0008-0000-0D00-000006000000}"/>
            </a:ext>
          </a:extLst>
        </xdr:cNvPr>
        <xdr:cNvSpPr/>
      </xdr:nvSpPr>
      <xdr:spPr bwMode="auto">
        <a:xfrm>
          <a:off x="7172325" y="42576750"/>
          <a:ext cx="3438525" cy="32385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7</xdr:col>
      <xdr:colOff>2428875</xdr:colOff>
      <xdr:row>170</xdr:row>
      <xdr:rowOff>28575</xdr:rowOff>
    </xdr:from>
    <xdr:to>
      <xdr:col>7</xdr:col>
      <xdr:colOff>3276600</xdr:colOff>
      <xdr:row>171</xdr:row>
      <xdr:rowOff>129540</xdr:rowOff>
    </xdr:to>
    <xdr:sp macro="" textlink="">
      <xdr:nvSpPr>
        <xdr:cNvPr id="7" name="optECHUCA" hidden="1">
          <a:extLst>
            <a:ext uri="{63B3BB69-23CF-44E3-9099-C40C66FF867C}">
              <a14:compatExt xmlns:a14="http://schemas.microsoft.com/office/drawing/2010/main" spid="_x0000_s1027"/>
            </a:ext>
            <a:ext uri="{FF2B5EF4-FFF2-40B4-BE49-F238E27FC236}">
              <a16:creationId xmlns:a16="http://schemas.microsoft.com/office/drawing/2014/main" id="{00000000-0008-0000-0D00-000007000000}"/>
            </a:ext>
          </a:extLst>
        </xdr:cNvPr>
        <xdr:cNvSpPr/>
      </xdr:nvSpPr>
      <xdr:spPr bwMode="auto">
        <a:xfrm>
          <a:off x="9582150" y="41557575"/>
          <a:ext cx="847725" cy="238125"/>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7</xdr:col>
      <xdr:colOff>857250</xdr:colOff>
      <xdr:row>170</xdr:row>
      <xdr:rowOff>9525</xdr:rowOff>
    </xdr:from>
    <xdr:to>
      <xdr:col>7</xdr:col>
      <xdr:colOff>2038350</xdr:colOff>
      <xdr:row>171</xdr:row>
      <xdr:rowOff>135255</xdr:rowOff>
    </xdr:to>
    <xdr:sp macro="" textlink="">
      <xdr:nvSpPr>
        <xdr:cNvPr id="8" name="optShepparton" hidden="1">
          <a:extLst>
            <a:ext uri="{63B3BB69-23CF-44E3-9099-C40C66FF867C}">
              <a14:compatExt xmlns:a14="http://schemas.microsoft.com/office/drawing/2010/main" spid="_x0000_s1028"/>
            </a:ext>
            <a:ext uri="{FF2B5EF4-FFF2-40B4-BE49-F238E27FC236}">
              <a16:creationId xmlns:a16="http://schemas.microsoft.com/office/drawing/2014/main" id="{00000000-0008-0000-0D00-000008000000}"/>
            </a:ext>
          </a:extLst>
        </xdr:cNvPr>
        <xdr:cNvSpPr/>
      </xdr:nvSpPr>
      <xdr:spPr bwMode="auto">
        <a:xfrm>
          <a:off x="8010525" y="41538525"/>
          <a:ext cx="1181100" cy="24765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2</xdr:col>
      <xdr:colOff>3430905</xdr:colOff>
      <xdr:row>175</xdr:row>
      <xdr:rowOff>64770</xdr:rowOff>
    </xdr:from>
    <xdr:to>
      <xdr:col>5</xdr:col>
      <xdr:colOff>628650</xdr:colOff>
      <xdr:row>178</xdr:row>
      <xdr:rowOff>211455</xdr:rowOff>
    </xdr:to>
    <xdr:pic>
      <xdr:nvPicPr>
        <xdr:cNvPr id="9" name="Picture 6">
          <a:extLst>
            <a:ext uri="{FF2B5EF4-FFF2-40B4-BE49-F238E27FC236}">
              <a16:creationId xmlns:a16="http://schemas.microsoft.com/office/drawing/2014/main" id="{00000000-0008-0000-0D00-000009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088255" y="41679495"/>
          <a:ext cx="1981200" cy="8420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57150</xdr:colOff>
      <xdr:row>5</xdr:row>
      <xdr:rowOff>0</xdr:rowOff>
    </xdr:from>
    <xdr:to>
      <xdr:col>3</xdr:col>
      <xdr:colOff>76200</xdr:colOff>
      <xdr:row>7</xdr:row>
      <xdr:rowOff>13335</xdr:rowOff>
    </xdr:to>
    <xdr:sp macro="" textlink="">
      <xdr:nvSpPr>
        <xdr:cNvPr id="2" name="ComboBox1" hidden="1">
          <a:extLst>
            <a:ext uri="{63B3BB69-23CF-44E3-9099-C40C66FF867C}">
              <a14:compatExt xmlns:a14="http://schemas.microsoft.com/office/drawing/2010/main" spid="_x0000_s1025"/>
            </a:ext>
            <a:ext uri="{FF2B5EF4-FFF2-40B4-BE49-F238E27FC236}">
              <a16:creationId xmlns:a16="http://schemas.microsoft.com/office/drawing/2014/main" id="{6AA927C5-95F9-4ED8-A57B-C5CB176B119F}"/>
            </a:ext>
          </a:extLst>
        </xdr:cNvPr>
        <xdr:cNvSpPr/>
      </xdr:nvSpPr>
      <xdr:spPr bwMode="auto">
        <a:xfrm>
          <a:off x="1710690" y="1912620"/>
          <a:ext cx="3417570" cy="379095"/>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7</xdr:col>
      <xdr:colOff>19050</xdr:colOff>
      <xdr:row>0</xdr:row>
      <xdr:rowOff>0</xdr:rowOff>
    </xdr:from>
    <xdr:to>
      <xdr:col>7</xdr:col>
      <xdr:colOff>3533775</xdr:colOff>
      <xdr:row>2</xdr:row>
      <xdr:rowOff>64770</xdr:rowOff>
    </xdr:to>
    <xdr:sp macro="" textlink="">
      <xdr:nvSpPr>
        <xdr:cNvPr id="3" name="ComboBox2" hidden="1">
          <a:extLst>
            <a:ext uri="{63B3BB69-23CF-44E3-9099-C40C66FF867C}">
              <a14:compatExt xmlns:a14="http://schemas.microsoft.com/office/drawing/2010/main" spid="_x0000_s1026"/>
            </a:ext>
            <a:ext uri="{FF2B5EF4-FFF2-40B4-BE49-F238E27FC236}">
              <a16:creationId xmlns:a16="http://schemas.microsoft.com/office/drawing/2014/main" id="{09820166-E4D7-44C9-9631-13ADAA601257}"/>
            </a:ext>
          </a:extLst>
        </xdr:cNvPr>
        <xdr:cNvSpPr/>
      </xdr:nvSpPr>
      <xdr:spPr bwMode="auto">
        <a:xfrm>
          <a:off x="7738110" y="228600"/>
          <a:ext cx="3438525" cy="51435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7</xdr:col>
      <xdr:colOff>2428875</xdr:colOff>
      <xdr:row>0</xdr:row>
      <xdr:rowOff>0</xdr:rowOff>
    </xdr:from>
    <xdr:to>
      <xdr:col>7</xdr:col>
      <xdr:colOff>3291840</xdr:colOff>
      <xdr:row>1</xdr:row>
      <xdr:rowOff>154305</xdr:rowOff>
    </xdr:to>
    <xdr:sp macro="" textlink="">
      <xdr:nvSpPr>
        <xdr:cNvPr id="4" name="optECHUCA" hidden="1">
          <a:extLst>
            <a:ext uri="{63B3BB69-23CF-44E3-9099-C40C66FF867C}">
              <a14:compatExt xmlns:a14="http://schemas.microsoft.com/office/drawing/2010/main" spid="_x0000_s1027"/>
            </a:ext>
            <a:ext uri="{FF2B5EF4-FFF2-40B4-BE49-F238E27FC236}">
              <a16:creationId xmlns:a16="http://schemas.microsoft.com/office/drawing/2014/main" id="{4908EDD6-92BA-42C3-86B8-3B24C18D3B90}"/>
            </a:ext>
          </a:extLst>
        </xdr:cNvPr>
        <xdr:cNvSpPr/>
      </xdr:nvSpPr>
      <xdr:spPr bwMode="auto">
        <a:xfrm>
          <a:off x="10147935" y="228600"/>
          <a:ext cx="847725" cy="337185"/>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7</xdr:col>
      <xdr:colOff>857250</xdr:colOff>
      <xdr:row>0</xdr:row>
      <xdr:rowOff>0</xdr:rowOff>
    </xdr:from>
    <xdr:to>
      <xdr:col>7</xdr:col>
      <xdr:colOff>2053590</xdr:colOff>
      <xdr:row>1</xdr:row>
      <xdr:rowOff>163830</xdr:rowOff>
    </xdr:to>
    <xdr:sp macro="" textlink="">
      <xdr:nvSpPr>
        <xdr:cNvPr id="5" name="optShepparton" hidden="1">
          <a:extLst>
            <a:ext uri="{63B3BB69-23CF-44E3-9099-C40C66FF867C}">
              <a14:compatExt xmlns:a14="http://schemas.microsoft.com/office/drawing/2010/main" spid="_x0000_s1028"/>
            </a:ext>
            <a:ext uri="{FF2B5EF4-FFF2-40B4-BE49-F238E27FC236}">
              <a16:creationId xmlns:a16="http://schemas.microsoft.com/office/drawing/2014/main" id="{D5D2B9B5-8E0A-4A25-BB82-56CDC427E30D}"/>
            </a:ext>
          </a:extLst>
        </xdr:cNvPr>
        <xdr:cNvSpPr/>
      </xdr:nvSpPr>
      <xdr:spPr bwMode="auto">
        <a:xfrm>
          <a:off x="8576310" y="228600"/>
          <a:ext cx="1181100" cy="34671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57150</xdr:colOff>
      <xdr:row>5</xdr:row>
      <xdr:rowOff>0</xdr:rowOff>
    </xdr:from>
    <xdr:to>
      <xdr:col>3</xdr:col>
      <xdr:colOff>76200</xdr:colOff>
      <xdr:row>7</xdr:row>
      <xdr:rowOff>13335</xdr:rowOff>
    </xdr:to>
    <xdr:sp macro="" textlink="">
      <xdr:nvSpPr>
        <xdr:cNvPr id="2" name="ComboBox1" hidden="1">
          <a:extLst>
            <a:ext uri="{63B3BB69-23CF-44E3-9099-C40C66FF867C}">
              <a14:compatExt xmlns:a14="http://schemas.microsoft.com/office/drawing/2010/main" spid="_x0000_s1025"/>
            </a:ext>
            <a:ext uri="{FF2B5EF4-FFF2-40B4-BE49-F238E27FC236}">
              <a16:creationId xmlns:a16="http://schemas.microsoft.com/office/drawing/2014/main" id="{F304C1C6-3635-4B9F-AA4F-0CE52514D76A}"/>
            </a:ext>
          </a:extLst>
        </xdr:cNvPr>
        <xdr:cNvSpPr/>
      </xdr:nvSpPr>
      <xdr:spPr bwMode="auto">
        <a:xfrm>
          <a:off x="1710690" y="1684020"/>
          <a:ext cx="3417570" cy="379095"/>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7</xdr:col>
      <xdr:colOff>19050</xdr:colOff>
      <xdr:row>0</xdr:row>
      <xdr:rowOff>0</xdr:rowOff>
    </xdr:from>
    <xdr:to>
      <xdr:col>7</xdr:col>
      <xdr:colOff>3533775</xdr:colOff>
      <xdr:row>2</xdr:row>
      <xdr:rowOff>87630</xdr:rowOff>
    </xdr:to>
    <xdr:sp macro="" textlink="">
      <xdr:nvSpPr>
        <xdr:cNvPr id="3" name="ComboBox2" hidden="1">
          <a:extLst>
            <a:ext uri="{63B3BB69-23CF-44E3-9099-C40C66FF867C}">
              <a14:compatExt xmlns:a14="http://schemas.microsoft.com/office/drawing/2010/main" spid="_x0000_s1026"/>
            </a:ext>
            <a:ext uri="{FF2B5EF4-FFF2-40B4-BE49-F238E27FC236}">
              <a16:creationId xmlns:a16="http://schemas.microsoft.com/office/drawing/2014/main" id="{D2A5B5CE-4CBA-4B61-A908-6A4C3BF0B051}"/>
            </a:ext>
          </a:extLst>
        </xdr:cNvPr>
        <xdr:cNvSpPr/>
      </xdr:nvSpPr>
      <xdr:spPr bwMode="auto">
        <a:xfrm>
          <a:off x="7738110" y="0"/>
          <a:ext cx="3438525" cy="51435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7</xdr:col>
      <xdr:colOff>2428875</xdr:colOff>
      <xdr:row>0</xdr:row>
      <xdr:rowOff>0</xdr:rowOff>
    </xdr:from>
    <xdr:to>
      <xdr:col>7</xdr:col>
      <xdr:colOff>3291840</xdr:colOff>
      <xdr:row>1</xdr:row>
      <xdr:rowOff>184785</xdr:rowOff>
    </xdr:to>
    <xdr:sp macro="" textlink="">
      <xdr:nvSpPr>
        <xdr:cNvPr id="4" name="optECHUCA" hidden="1">
          <a:extLst>
            <a:ext uri="{63B3BB69-23CF-44E3-9099-C40C66FF867C}">
              <a14:compatExt xmlns:a14="http://schemas.microsoft.com/office/drawing/2010/main" spid="_x0000_s1027"/>
            </a:ext>
            <a:ext uri="{FF2B5EF4-FFF2-40B4-BE49-F238E27FC236}">
              <a16:creationId xmlns:a16="http://schemas.microsoft.com/office/drawing/2014/main" id="{A1D23C05-E03B-4AAA-A007-A1D479F98F61}"/>
            </a:ext>
          </a:extLst>
        </xdr:cNvPr>
        <xdr:cNvSpPr/>
      </xdr:nvSpPr>
      <xdr:spPr bwMode="auto">
        <a:xfrm>
          <a:off x="10147935" y="0"/>
          <a:ext cx="847725" cy="337185"/>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7</xdr:col>
      <xdr:colOff>857250</xdr:colOff>
      <xdr:row>0</xdr:row>
      <xdr:rowOff>0</xdr:rowOff>
    </xdr:from>
    <xdr:to>
      <xdr:col>7</xdr:col>
      <xdr:colOff>2053590</xdr:colOff>
      <xdr:row>1</xdr:row>
      <xdr:rowOff>194310</xdr:rowOff>
    </xdr:to>
    <xdr:sp macro="" textlink="">
      <xdr:nvSpPr>
        <xdr:cNvPr id="5" name="optShepparton" hidden="1">
          <a:extLst>
            <a:ext uri="{63B3BB69-23CF-44E3-9099-C40C66FF867C}">
              <a14:compatExt xmlns:a14="http://schemas.microsoft.com/office/drawing/2010/main" spid="_x0000_s1028"/>
            </a:ext>
            <a:ext uri="{FF2B5EF4-FFF2-40B4-BE49-F238E27FC236}">
              <a16:creationId xmlns:a16="http://schemas.microsoft.com/office/drawing/2014/main" id="{7C346AF9-6A2B-4FD0-A796-73BD3A757DFA}"/>
            </a:ext>
          </a:extLst>
        </xdr:cNvPr>
        <xdr:cNvSpPr/>
      </xdr:nvSpPr>
      <xdr:spPr bwMode="auto">
        <a:xfrm>
          <a:off x="8576310" y="0"/>
          <a:ext cx="1181100" cy="34671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wsDr>
</file>

<file path=xl/drawings/drawing6.xml><?xml version="1.0" encoding="utf-8"?>
<xdr:wsDr xmlns:xdr="http://schemas.openxmlformats.org/drawingml/2006/spreadsheetDrawing" xmlns:a="http://schemas.openxmlformats.org/drawingml/2006/main">
  <xdr:oneCellAnchor>
    <xdr:from>
      <xdr:col>2</xdr:col>
      <xdr:colOff>205740</xdr:colOff>
      <xdr:row>331</xdr:row>
      <xdr:rowOff>15240</xdr:rowOff>
    </xdr:from>
    <xdr:ext cx="3724275" cy="1851660"/>
    <xdr:pic>
      <xdr:nvPicPr>
        <xdr:cNvPr id="2" name="Picture 5">
          <a:extLst>
            <a:ext uri="{FF2B5EF4-FFF2-40B4-BE49-F238E27FC236}">
              <a16:creationId xmlns:a16="http://schemas.microsoft.com/office/drawing/2014/main" id="{00000000-0008-0000-0E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53515" y="75653265"/>
          <a:ext cx="3724275" cy="18516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3429000</xdr:colOff>
      <xdr:row>44</xdr:row>
      <xdr:rowOff>15241</xdr:rowOff>
    </xdr:from>
    <xdr:ext cx="1870710" cy="765810"/>
    <xdr:pic>
      <xdr:nvPicPr>
        <xdr:cNvPr id="3" name="Picture 6">
          <a:extLst>
            <a:ext uri="{FF2B5EF4-FFF2-40B4-BE49-F238E27FC236}">
              <a16:creationId xmlns:a16="http://schemas.microsoft.com/office/drawing/2014/main" id="{00000000-0008-0000-0E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629150" y="10111741"/>
          <a:ext cx="1870710" cy="765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3088005</xdr:colOff>
      <xdr:row>1</xdr:row>
      <xdr:rowOff>41910</xdr:rowOff>
    </xdr:from>
    <xdr:ext cx="2082165" cy="777240"/>
    <xdr:pic>
      <xdr:nvPicPr>
        <xdr:cNvPr id="4" name="Picture 7">
          <a:extLst>
            <a:ext uri="{FF2B5EF4-FFF2-40B4-BE49-F238E27FC236}">
              <a16:creationId xmlns:a16="http://schemas.microsoft.com/office/drawing/2014/main" id="{00000000-0008-0000-0E00-000004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335780" y="270510"/>
          <a:ext cx="2082165" cy="777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57150</xdr:colOff>
      <xdr:row>185</xdr:row>
      <xdr:rowOff>28575</xdr:rowOff>
    </xdr:from>
    <xdr:ext cx="3324225" cy="295275"/>
    <xdr:sp macro="" textlink="">
      <xdr:nvSpPr>
        <xdr:cNvPr id="5" name="ComboBox1" hidden="1">
          <a:extLst>
            <a:ext uri="{63B3BB69-23CF-44E3-9099-C40C66FF867C}">
              <a14:compatExt xmlns:a14="http://schemas.microsoft.com/office/drawing/2010/main" spid="_x0000_s1025"/>
            </a:ext>
            <a:ext uri="{FF2B5EF4-FFF2-40B4-BE49-F238E27FC236}">
              <a16:creationId xmlns:a16="http://schemas.microsoft.com/office/drawing/2014/main" id="{00000000-0008-0000-0E00-000005000000}"/>
            </a:ext>
          </a:extLst>
        </xdr:cNvPr>
        <xdr:cNvSpPr/>
      </xdr:nvSpPr>
      <xdr:spPr bwMode="auto">
        <a:xfrm>
          <a:off x="1304925" y="44557950"/>
          <a:ext cx="3324225" cy="295275"/>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7</xdr:col>
      <xdr:colOff>19050</xdr:colOff>
      <xdr:row>177</xdr:row>
      <xdr:rowOff>76200</xdr:rowOff>
    </xdr:from>
    <xdr:ext cx="3438525" cy="323850"/>
    <xdr:sp macro="" textlink="">
      <xdr:nvSpPr>
        <xdr:cNvPr id="6" name="ComboBox2" hidden="1">
          <a:extLst>
            <a:ext uri="{63B3BB69-23CF-44E3-9099-C40C66FF867C}">
              <a14:compatExt xmlns:a14="http://schemas.microsoft.com/office/drawing/2010/main" spid="_x0000_s1026"/>
            </a:ext>
            <a:ext uri="{FF2B5EF4-FFF2-40B4-BE49-F238E27FC236}">
              <a16:creationId xmlns:a16="http://schemas.microsoft.com/office/drawing/2014/main" id="{00000000-0008-0000-0E00-000006000000}"/>
            </a:ext>
          </a:extLst>
        </xdr:cNvPr>
        <xdr:cNvSpPr/>
      </xdr:nvSpPr>
      <xdr:spPr bwMode="auto">
        <a:xfrm>
          <a:off x="7172325" y="42576750"/>
          <a:ext cx="3438525" cy="32385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7</xdr:col>
      <xdr:colOff>2428875</xdr:colOff>
      <xdr:row>173</xdr:row>
      <xdr:rowOff>28575</xdr:rowOff>
    </xdr:from>
    <xdr:ext cx="847725" cy="238125"/>
    <xdr:sp macro="" textlink="">
      <xdr:nvSpPr>
        <xdr:cNvPr id="7" name="optECHUCA" hidden="1">
          <a:extLst>
            <a:ext uri="{63B3BB69-23CF-44E3-9099-C40C66FF867C}">
              <a14:compatExt xmlns:a14="http://schemas.microsoft.com/office/drawing/2010/main" spid="_x0000_s1027"/>
            </a:ext>
            <a:ext uri="{FF2B5EF4-FFF2-40B4-BE49-F238E27FC236}">
              <a16:creationId xmlns:a16="http://schemas.microsoft.com/office/drawing/2014/main" id="{00000000-0008-0000-0E00-000007000000}"/>
            </a:ext>
          </a:extLst>
        </xdr:cNvPr>
        <xdr:cNvSpPr/>
      </xdr:nvSpPr>
      <xdr:spPr bwMode="auto">
        <a:xfrm>
          <a:off x="9582150" y="41557575"/>
          <a:ext cx="847725" cy="238125"/>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7</xdr:col>
      <xdr:colOff>857250</xdr:colOff>
      <xdr:row>173</xdr:row>
      <xdr:rowOff>9525</xdr:rowOff>
    </xdr:from>
    <xdr:ext cx="1181100" cy="247650"/>
    <xdr:sp macro="" textlink="">
      <xdr:nvSpPr>
        <xdr:cNvPr id="8" name="optShepparton" hidden="1">
          <a:extLst>
            <a:ext uri="{63B3BB69-23CF-44E3-9099-C40C66FF867C}">
              <a14:compatExt xmlns:a14="http://schemas.microsoft.com/office/drawing/2010/main" spid="_x0000_s1028"/>
            </a:ext>
            <a:ext uri="{FF2B5EF4-FFF2-40B4-BE49-F238E27FC236}">
              <a16:creationId xmlns:a16="http://schemas.microsoft.com/office/drawing/2014/main" id="{00000000-0008-0000-0E00-000008000000}"/>
            </a:ext>
          </a:extLst>
        </xdr:cNvPr>
        <xdr:cNvSpPr/>
      </xdr:nvSpPr>
      <xdr:spPr bwMode="auto">
        <a:xfrm>
          <a:off x="8010525" y="41538525"/>
          <a:ext cx="1181100" cy="24765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2</xdr:col>
      <xdr:colOff>3451860</xdr:colOff>
      <xdr:row>178</xdr:row>
      <xdr:rowOff>83820</xdr:rowOff>
    </xdr:from>
    <xdr:ext cx="1925955" cy="800100"/>
    <xdr:pic>
      <xdr:nvPicPr>
        <xdr:cNvPr id="9" name="Picture 6">
          <a:extLst>
            <a:ext uri="{FF2B5EF4-FFF2-40B4-BE49-F238E27FC236}">
              <a16:creationId xmlns:a16="http://schemas.microsoft.com/office/drawing/2014/main" id="{00000000-0008-0000-0E00-000009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632960" y="42927270"/>
          <a:ext cx="1925955"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mc:AlternateContent xmlns:mc="http://schemas.openxmlformats.org/markup-compatibility/2006">
    <mc:Choice xmlns:a14="http://schemas.microsoft.com/office/drawing/2010/main" Requires="a14">
      <xdr:twoCellAnchor editAs="oneCell">
        <xdr:from>
          <xdr:col>2</xdr:col>
          <xdr:colOff>9525</xdr:colOff>
          <xdr:row>185</xdr:row>
          <xdr:rowOff>19050</xdr:rowOff>
        </xdr:from>
        <xdr:to>
          <xdr:col>3</xdr:col>
          <xdr:colOff>0</xdr:colOff>
          <xdr:row>185</xdr:row>
          <xdr:rowOff>257175</xdr:rowOff>
        </xdr:to>
        <xdr:sp macro="" textlink="">
          <xdr:nvSpPr>
            <xdr:cNvPr id="28673" name="ComboBox1" hidden="1">
              <a:extLst>
                <a:ext uri="{63B3BB69-23CF-44E3-9099-C40C66FF867C}">
                  <a14:compatExt spid="_x0000_s28673"/>
                </a:ext>
                <a:ext uri="{FF2B5EF4-FFF2-40B4-BE49-F238E27FC236}">
                  <a16:creationId xmlns:a16="http://schemas.microsoft.com/office/drawing/2014/main" id="{00000000-0008-0000-1100-0000017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342900</xdr:colOff>
          <xdr:row>173</xdr:row>
          <xdr:rowOff>19050</xdr:rowOff>
        </xdr:from>
        <xdr:to>
          <xdr:col>7</xdr:col>
          <xdr:colOff>1333500</xdr:colOff>
          <xdr:row>174</xdr:row>
          <xdr:rowOff>0</xdr:rowOff>
        </xdr:to>
        <xdr:sp macro="" textlink="">
          <xdr:nvSpPr>
            <xdr:cNvPr id="28674" name="optShepparton" hidden="1">
              <a:extLst>
                <a:ext uri="{63B3BB69-23CF-44E3-9099-C40C66FF867C}">
                  <a14:compatExt spid="_x0000_s28674"/>
                </a:ext>
                <a:ext uri="{FF2B5EF4-FFF2-40B4-BE49-F238E27FC236}">
                  <a16:creationId xmlns:a16="http://schemas.microsoft.com/office/drawing/2014/main" id="{00000000-0008-0000-1100-0000027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2247900</xdr:colOff>
          <xdr:row>173</xdr:row>
          <xdr:rowOff>19050</xdr:rowOff>
        </xdr:from>
        <xdr:to>
          <xdr:col>7</xdr:col>
          <xdr:colOff>3238500</xdr:colOff>
          <xdr:row>174</xdr:row>
          <xdr:rowOff>0</xdr:rowOff>
        </xdr:to>
        <xdr:sp macro="" textlink="">
          <xdr:nvSpPr>
            <xdr:cNvPr id="28675" name="optECHUCA" hidden="1">
              <a:extLst>
                <a:ext uri="{63B3BB69-23CF-44E3-9099-C40C66FF867C}">
                  <a14:compatExt spid="_x0000_s28675"/>
                </a:ext>
                <a:ext uri="{FF2B5EF4-FFF2-40B4-BE49-F238E27FC236}">
                  <a16:creationId xmlns:a16="http://schemas.microsoft.com/office/drawing/2014/main" id="{00000000-0008-0000-1100-0000037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171</xdr:row>
          <xdr:rowOff>38100</xdr:rowOff>
        </xdr:from>
        <xdr:to>
          <xdr:col>7</xdr:col>
          <xdr:colOff>1885950</xdr:colOff>
          <xdr:row>171</xdr:row>
          <xdr:rowOff>276225</xdr:rowOff>
        </xdr:to>
        <xdr:sp macro="" textlink="">
          <xdr:nvSpPr>
            <xdr:cNvPr id="28676" name="cmbTimePeriod" hidden="1">
              <a:extLst>
                <a:ext uri="{63B3BB69-23CF-44E3-9099-C40C66FF867C}">
                  <a14:compatExt spid="_x0000_s28676"/>
                </a:ext>
                <a:ext uri="{FF2B5EF4-FFF2-40B4-BE49-F238E27FC236}">
                  <a16:creationId xmlns:a16="http://schemas.microsoft.com/office/drawing/2014/main" id="{00000000-0008-0000-1100-0000047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47625</xdr:colOff>
          <xdr:row>177</xdr:row>
          <xdr:rowOff>19050</xdr:rowOff>
        </xdr:from>
        <xdr:to>
          <xdr:col>7</xdr:col>
          <xdr:colOff>1790700</xdr:colOff>
          <xdr:row>177</xdr:row>
          <xdr:rowOff>285750</xdr:rowOff>
        </xdr:to>
        <xdr:sp macro="" textlink="">
          <xdr:nvSpPr>
            <xdr:cNvPr id="28677" name="cmdArea" hidden="1">
              <a:extLst>
                <a:ext uri="{63B3BB69-23CF-44E3-9099-C40C66FF867C}">
                  <a14:compatExt spid="_x0000_s28677"/>
                </a:ext>
                <a:ext uri="{FF2B5EF4-FFF2-40B4-BE49-F238E27FC236}">
                  <a16:creationId xmlns:a16="http://schemas.microsoft.com/office/drawing/2014/main" id="{00000000-0008-0000-1100-0000057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oneCellAnchor>
    <xdr:from>
      <xdr:col>7</xdr:col>
      <xdr:colOff>3139440</xdr:colOff>
      <xdr:row>169</xdr:row>
      <xdr:rowOff>7620</xdr:rowOff>
    </xdr:from>
    <xdr:ext cx="289560" cy="289560"/>
    <xdr:pic>
      <xdr:nvPicPr>
        <xdr:cNvPr id="15" name="Picture 14" descr="539,782 Lock Stock Photos, Pictures &amp; Royalty-Free Images - iStock">
          <a:extLst>
            <a:ext uri="{FF2B5EF4-FFF2-40B4-BE49-F238E27FC236}">
              <a16:creationId xmlns:a16="http://schemas.microsoft.com/office/drawing/2014/main" id="{00000000-0008-0000-0E00-00000F00000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0292715" y="40345995"/>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3421380</xdr:colOff>
      <xdr:row>168</xdr:row>
      <xdr:rowOff>304800</xdr:rowOff>
    </xdr:from>
    <xdr:ext cx="327660" cy="333375"/>
    <xdr:pic>
      <xdr:nvPicPr>
        <xdr:cNvPr id="16" name="Picture 15">
          <a:extLst>
            <a:ext uri="{FF2B5EF4-FFF2-40B4-BE49-F238E27FC236}">
              <a16:creationId xmlns:a16="http://schemas.microsoft.com/office/drawing/2014/main" id="{00000000-0008-0000-0E00-000010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0574655" y="40309800"/>
          <a:ext cx="327660" cy="3333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8" Type="http://schemas.openxmlformats.org/officeDocument/2006/relationships/control" Target="../activeX/activeX3.xml"/><Relationship Id="rId13" Type="http://schemas.openxmlformats.org/officeDocument/2006/relationships/image" Target="../media/image6.emf"/><Relationship Id="rId3" Type="http://schemas.openxmlformats.org/officeDocument/2006/relationships/vmlDrawing" Target="../drawings/vmlDrawing3.vml"/><Relationship Id="rId7" Type="http://schemas.openxmlformats.org/officeDocument/2006/relationships/image" Target="../media/image3.emf"/><Relationship Id="rId12" Type="http://schemas.openxmlformats.org/officeDocument/2006/relationships/control" Target="../activeX/activeX5.xml"/><Relationship Id="rId2" Type="http://schemas.openxmlformats.org/officeDocument/2006/relationships/drawing" Target="../drawings/drawing1.xml"/><Relationship Id="rId1" Type="http://schemas.openxmlformats.org/officeDocument/2006/relationships/printerSettings" Target="../printerSettings/printerSettings7.bin"/><Relationship Id="rId6" Type="http://schemas.openxmlformats.org/officeDocument/2006/relationships/control" Target="../activeX/activeX2.xml"/><Relationship Id="rId11" Type="http://schemas.openxmlformats.org/officeDocument/2006/relationships/image" Target="../media/image5.emf"/><Relationship Id="rId5" Type="http://schemas.openxmlformats.org/officeDocument/2006/relationships/image" Target="../media/image2.emf"/><Relationship Id="rId10" Type="http://schemas.openxmlformats.org/officeDocument/2006/relationships/control" Target="../activeX/activeX4.xml"/><Relationship Id="rId4" Type="http://schemas.openxmlformats.org/officeDocument/2006/relationships/control" Target="../activeX/activeX1.xml"/><Relationship Id="rId9" Type="http://schemas.openxmlformats.org/officeDocument/2006/relationships/image" Target="../media/image4.emf"/></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14.bin"/><Relationship Id="rId1" Type="http://schemas.openxmlformats.org/officeDocument/2006/relationships/hyperlink" Target="https://www.zipwater.com/shop/hydrotap" TargetMode="Externa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8.xml.rels><?xml version="1.0" encoding="UTF-8" standalone="yes"?>
<Relationships xmlns="http://schemas.openxmlformats.org/package/2006/relationships"><Relationship Id="rId8" Type="http://schemas.openxmlformats.org/officeDocument/2006/relationships/control" Target="../activeX/activeX8.xml"/><Relationship Id="rId13" Type="http://schemas.openxmlformats.org/officeDocument/2006/relationships/image" Target="../media/image21.emf"/><Relationship Id="rId3" Type="http://schemas.openxmlformats.org/officeDocument/2006/relationships/vmlDrawing" Target="../drawings/vmlDrawing4.vml"/><Relationship Id="rId7" Type="http://schemas.openxmlformats.org/officeDocument/2006/relationships/image" Target="../media/image18.emf"/><Relationship Id="rId12" Type="http://schemas.openxmlformats.org/officeDocument/2006/relationships/control" Target="../activeX/activeX10.xml"/><Relationship Id="rId2" Type="http://schemas.openxmlformats.org/officeDocument/2006/relationships/drawing" Target="../drawings/drawing6.xml"/><Relationship Id="rId1" Type="http://schemas.openxmlformats.org/officeDocument/2006/relationships/printerSettings" Target="../printerSettings/printerSettings15.bin"/><Relationship Id="rId6" Type="http://schemas.openxmlformats.org/officeDocument/2006/relationships/control" Target="../activeX/activeX7.xml"/><Relationship Id="rId11" Type="http://schemas.openxmlformats.org/officeDocument/2006/relationships/image" Target="../media/image20.emf"/><Relationship Id="rId5" Type="http://schemas.openxmlformats.org/officeDocument/2006/relationships/image" Target="../media/image17.emf"/><Relationship Id="rId10" Type="http://schemas.openxmlformats.org/officeDocument/2006/relationships/control" Target="../activeX/activeX9.xml"/><Relationship Id="rId4" Type="http://schemas.openxmlformats.org/officeDocument/2006/relationships/control" Target="../activeX/activeX6.xml"/><Relationship Id="rId9" Type="http://schemas.openxmlformats.org/officeDocument/2006/relationships/image" Target="../media/image19.emf"/></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A4101-94B3-41A3-9F50-B7D3B8BA92A8}">
  <sheetPr codeName="Sheet1"/>
  <dimension ref="A1:BW178"/>
  <sheetViews>
    <sheetView workbookViewId="0">
      <pane xSplit="1" ySplit="13" topLeftCell="B14" activePane="bottomRight" state="frozen"/>
      <selection activeCell="K9" sqref="K9"/>
      <selection pane="topRight" activeCell="K9" sqref="K9"/>
      <selection pane="bottomLeft" activeCell="K9" sqref="K9"/>
      <selection pane="bottomRight" activeCell="BM4" sqref="BM4"/>
    </sheetView>
  </sheetViews>
  <sheetFormatPr defaultColWidth="9.140625" defaultRowHeight="12.75"/>
  <cols>
    <col min="1" max="1" width="20.5703125" style="3" bestFit="1" customWidth="1"/>
    <col min="2" max="2" width="6.42578125" style="3" hidden="1" customWidth="1"/>
    <col min="3" max="53" width="5.7109375" style="3" hidden="1" customWidth="1"/>
    <col min="54" max="57" width="12.28515625" style="3" customWidth="1"/>
    <col min="58" max="70" width="9.140625" style="3"/>
    <col min="71" max="72" width="9.7109375" style="3" bestFit="1" customWidth="1"/>
    <col min="73" max="73" width="9.140625" style="3"/>
    <col min="74" max="74" width="10.140625" style="3" bestFit="1" customWidth="1"/>
    <col min="75" max="75" width="7.7109375" style="3" bestFit="1" customWidth="1"/>
    <col min="76" max="16384" width="9.140625" style="3"/>
  </cols>
  <sheetData>
    <row r="1" spans="1:75">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2"/>
      <c r="BG1" s="2"/>
    </row>
    <row r="2" spans="1:75">
      <c r="BF2" s="2"/>
      <c r="BG2" s="2"/>
      <c r="BV2" s="4"/>
    </row>
    <row r="3" spans="1:75">
      <c r="A3" s="3" t="s">
        <v>1</v>
      </c>
      <c r="BB3" s="3">
        <f>50*140</f>
        <v>7000</v>
      </c>
      <c r="BD3" s="561" t="s">
        <v>1635</v>
      </c>
      <c r="BF3" s="2"/>
      <c r="BG3" s="2"/>
      <c r="BH3" s="393" t="s">
        <v>1641</v>
      </c>
      <c r="BI3" s="393"/>
      <c r="BJ3" s="393"/>
      <c r="BK3" s="393"/>
      <c r="BM3" s="3" t="s">
        <v>1648</v>
      </c>
      <c r="BV3" s="5"/>
      <c r="BW3" s="6"/>
    </row>
    <row r="4" spans="1:75">
      <c r="A4" s="3" t="s">
        <v>2</v>
      </c>
      <c r="BB4" s="3">
        <v>103</v>
      </c>
      <c r="BD4" s="3" t="s">
        <v>1627</v>
      </c>
      <c r="BE4" s="5">
        <v>3000</v>
      </c>
      <c r="BF4" s="2"/>
      <c r="BG4" s="2"/>
      <c r="BH4" s="393" t="s">
        <v>1639</v>
      </c>
      <c r="BI4" s="393"/>
      <c r="BJ4" s="393"/>
      <c r="BK4" s="393"/>
      <c r="BV4" s="4"/>
    </row>
    <row r="5" spans="1:75">
      <c r="A5" s="3" t="s">
        <v>3</v>
      </c>
      <c r="BB5" s="3">
        <v>60</v>
      </c>
      <c r="BD5" s="3" t="s">
        <v>1628</v>
      </c>
      <c r="BE5" s="5">
        <v>4000</v>
      </c>
      <c r="BF5" s="2"/>
      <c r="BG5" s="2"/>
      <c r="BH5" s="393" t="s">
        <v>1640</v>
      </c>
      <c r="BI5" s="393"/>
      <c r="BJ5" s="393"/>
      <c r="BK5" s="393"/>
      <c r="BW5" s="6"/>
    </row>
    <row r="6" spans="1:75">
      <c r="A6" s="3" t="s">
        <v>4</v>
      </c>
      <c r="BB6" s="3">
        <v>85</v>
      </c>
      <c r="BC6" s="4"/>
      <c r="BD6" s="4"/>
      <c r="BE6" s="4"/>
      <c r="BF6" s="2"/>
      <c r="BG6" s="2"/>
      <c r="BH6" s="393" t="s">
        <v>1642</v>
      </c>
      <c r="BI6" s="393"/>
      <c r="BJ6" s="393"/>
      <c r="BK6" s="393"/>
    </row>
    <row r="7" spans="1:75">
      <c r="A7" s="3" t="s">
        <v>1099</v>
      </c>
      <c r="BB7" s="3">
        <v>0</v>
      </c>
      <c r="BC7" s="5"/>
      <c r="BD7" s="5"/>
      <c r="BE7" s="5"/>
      <c r="BF7" s="2"/>
      <c r="BG7" s="2"/>
    </row>
    <row r="8" spans="1:75">
      <c r="BF8" s="2"/>
      <c r="BG8" s="2"/>
    </row>
    <row r="9" spans="1:75">
      <c r="B9" s="390"/>
      <c r="C9" s="390"/>
      <c r="D9" s="390"/>
      <c r="E9" s="390"/>
      <c r="F9" s="390"/>
      <c r="G9" s="390"/>
      <c r="H9" s="390"/>
      <c r="I9" s="390"/>
      <c r="J9" s="390"/>
      <c r="K9" s="390"/>
      <c r="L9" s="390"/>
      <c r="M9" s="390"/>
      <c r="N9" s="390"/>
      <c r="O9" s="390"/>
      <c r="P9" s="390"/>
      <c r="Q9" s="390"/>
      <c r="R9" s="390"/>
      <c r="S9" s="390"/>
      <c r="T9" s="390"/>
      <c r="U9" s="390"/>
      <c r="V9" s="390"/>
      <c r="W9" s="390"/>
      <c r="X9" s="390"/>
      <c r="Y9" s="390"/>
      <c r="Z9" s="390"/>
      <c r="AA9" s="390"/>
      <c r="AB9" s="390"/>
      <c r="AC9" s="390"/>
      <c r="AD9" s="390"/>
      <c r="AE9" s="390"/>
      <c r="AF9" s="390"/>
      <c r="AG9" s="390"/>
      <c r="AH9" s="390"/>
      <c r="AI9" s="390"/>
      <c r="AJ9" s="390"/>
      <c r="AK9" s="390"/>
      <c r="AL9" s="390"/>
      <c r="AM9" s="390"/>
      <c r="AN9" s="390"/>
      <c r="AO9" s="390"/>
      <c r="AP9" s="390"/>
      <c r="AQ9" s="390"/>
      <c r="AR9" s="390"/>
      <c r="AS9" s="390"/>
      <c r="AT9" s="390"/>
      <c r="AU9" s="390"/>
      <c r="AV9" s="390"/>
      <c r="AW9" s="390"/>
      <c r="AX9" s="390"/>
      <c r="AY9" s="390"/>
      <c r="AZ9" s="390"/>
      <c r="BA9" s="390"/>
      <c r="BB9" s="389" t="s">
        <v>5</v>
      </c>
      <c r="BC9" s="389" t="s">
        <v>6</v>
      </c>
      <c r="BD9" s="1"/>
      <c r="BE9" s="1"/>
      <c r="BO9" s="3" t="s">
        <v>7</v>
      </c>
    </row>
    <row r="10" spans="1:75">
      <c r="B10" s="388"/>
      <c r="C10" s="388"/>
      <c r="D10" s="388"/>
      <c r="E10" s="388"/>
      <c r="F10" s="388"/>
      <c r="G10" s="388"/>
      <c r="H10" s="388"/>
      <c r="I10" s="388"/>
      <c r="J10" s="388"/>
      <c r="K10" s="388"/>
      <c r="L10" s="388"/>
      <c r="M10" s="388"/>
      <c r="N10" s="388"/>
      <c r="O10" s="388"/>
      <c r="P10" s="388"/>
      <c r="Q10" s="388"/>
      <c r="R10" s="388"/>
      <c r="S10" s="388"/>
      <c r="T10" s="388"/>
      <c r="U10" s="388"/>
      <c r="V10" s="388"/>
      <c r="W10" s="388"/>
      <c r="X10" s="388"/>
      <c r="Y10" s="388"/>
      <c r="Z10" s="388"/>
      <c r="AA10" s="388"/>
      <c r="AB10" s="388"/>
      <c r="AC10" s="388"/>
      <c r="AD10" s="388"/>
      <c r="AE10" s="388"/>
      <c r="AF10" s="388"/>
      <c r="AG10" s="388"/>
      <c r="AH10" s="388"/>
      <c r="AI10" s="388"/>
      <c r="AJ10" s="388"/>
      <c r="AK10" s="388"/>
      <c r="AL10" s="388"/>
      <c r="AM10" s="388"/>
      <c r="AN10" s="388"/>
      <c r="AO10" s="388"/>
      <c r="AP10" s="388"/>
      <c r="AQ10" s="388"/>
      <c r="AR10" s="388"/>
      <c r="AS10" s="388"/>
      <c r="AT10" s="388"/>
      <c r="AU10" s="388"/>
      <c r="AV10" s="388"/>
      <c r="AW10" s="388"/>
      <c r="AX10" s="388"/>
      <c r="AY10" s="388"/>
      <c r="AZ10" s="388"/>
      <c r="BA10" s="388"/>
      <c r="BB10" s="3" t="s">
        <v>9</v>
      </c>
      <c r="BC10" s="3" t="s">
        <v>9</v>
      </c>
      <c r="BD10" s="3" t="s">
        <v>1626</v>
      </c>
      <c r="BF10" s="3" t="s">
        <v>10</v>
      </c>
      <c r="BG10" s="3" t="s">
        <v>11</v>
      </c>
      <c r="BI10" s="3" t="s">
        <v>3</v>
      </c>
      <c r="BJ10" s="3" t="s">
        <v>11</v>
      </c>
      <c r="BL10" s="3" t="s">
        <v>4</v>
      </c>
      <c r="BM10" s="3" t="s">
        <v>12</v>
      </c>
      <c r="BN10" s="3" t="s">
        <v>13</v>
      </c>
      <c r="BO10" s="3" t="s">
        <v>14</v>
      </c>
      <c r="BS10" s="7"/>
    </row>
    <row r="11" spans="1:75">
      <c r="AE11" s="721" t="s">
        <v>162</v>
      </c>
      <c r="AF11" s="721"/>
      <c r="AG11" s="721"/>
      <c r="AH11" s="721"/>
      <c r="AI11" s="721"/>
      <c r="AJ11" s="721"/>
      <c r="AK11" s="721"/>
      <c r="AL11" s="721"/>
      <c r="AO11" s="721" t="s">
        <v>165</v>
      </c>
      <c r="AP11" s="721"/>
      <c r="AQ11" s="721"/>
      <c r="AR11" s="721"/>
      <c r="AS11" s="721"/>
      <c r="AT11" s="721"/>
      <c r="AU11" s="721"/>
      <c r="AV11" s="3" t="s">
        <v>1144</v>
      </c>
      <c r="BS11" s="7"/>
    </row>
    <row r="12" spans="1:75" ht="27" customHeight="1">
      <c r="A12" s="1" t="s">
        <v>8</v>
      </c>
      <c r="B12" s="388" t="s">
        <v>137</v>
      </c>
      <c r="C12" s="388" t="s">
        <v>139</v>
      </c>
      <c r="D12" s="388" t="s">
        <v>140</v>
      </c>
      <c r="E12" s="388" t="s">
        <v>141</v>
      </c>
      <c r="F12" s="388" t="s">
        <v>142</v>
      </c>
      <c r="G12" s="388" t="s">
        <v>144</v>
      </c>
      <c r="H12" s="388" t="s">
        <v>145</v>
      </c>
      <c r="I12" s="388" t="s">
        <v>1130</v>
      </c>
      <c r="J12" s="388" t="s">
        <v>4</v>
      </c>
      <c r="K12" s="388" t="s">
        <v>148</v>
      </c>
      <c r="L12" s="388" t="s">
        <v>149</v>
      </c>
      <c r="M12" s="388" t="s">
        <v>150</v>
      </c>
      <c r="N12" s="388" t="s">
        <v>1131</v>
      </c>
      <c r="O12" s="388" t="s">
        <v>152</v>
      </c>
      <c r="P12" s="388" t="s">
        <v>153</v>
      </c>
      <c r="Q12" s="388" t="s">
        <v>154</v>
      </c>
      <c r="R12" s="388" t="s">
        <v>1132</v>
      </c>
      <c r="S12" s="388" t="s">
        <v>156</v>
      </c>
      <c r="T12" s="388" t="s">
        <v>1133</v>
      </c>
      <c r="U12" s="388" t="s">
        <v>1134</v>
      </c>
      <c r="V12" s="388" t="s">
        <v>1135</v>
      </c>
      <c r="W12" s="388" t="s">
        <v>1136</v>
      </c>
      <c r="X12" s="388" t="s">
        <v>1137</v>
      </c>
      <c r="Y12" s="388" t="s">
        <v>1138</v>
      </c>
      <c r="Z12" s="388" t="s">
        <v>157</v>
      </c>
      <c r="AA12" s="388" t="s">
        <v>1139</v>
      </c>
      <c r="AB12" s="388" t="s">
        <v>1140</v>
      </c>
      <c r="AC12" s="388" t="s">
        <v>160</v>
      </c>
      <c r="AD12" s="388" t="s">
        <v>1141</v>
      </c>
      <c r="AE12" s="388">
        <v>1006</v>
      </c>
      <c r="AF12" s="388">
        <v>1212</v>
      </c>
      <c r="AG12" s="388">
        <v>1215</v>
      </c>
      <c r="AH12" s="388">
        <v>1809</v>
      </c>
      <c r="AI12" s="388">
        <v>1812</v>
      </c>
      <c r="AJ12" s="388">
        <v>1818</v>
      </c>
      <c r="AK12" s="388">
        <v>1821</v>
      </c>
      <c r="AL12" s="388">
        <v>1824</v>
      </c>
      <c r="AM12" s="388" t="s">
        <v>1142</v>
      </c>
      <c r="AN12" s="388" t="s">
        <v>1143</v>
      </c>
      <c r="AO12" s="388">
        <v>2115</v>
      </c>
      <c r="AP12" s="388">
        <v>2118</v>
      </c>
      <c r="AQ12" s="388">
        <v>2121</v>
      </c>
      <c r="AR12" s="388">
        <v>2124</v>
      </c>
      <c r="AS12" s="388">
        <v>2127</v>
      </c>
      <c r="AT12" s="388">
        <v>2136</v>
      </c>
      <c r="AU12" s="388">
        <v>2155</v>
      </c>
      <c r="AV12" s="388" t="s">
        <v>167</v>
      </c>
      <c r="AW12" s="388" t="s">
        <v>1145</v>
      </c>
      <c r="AX12" s="388" t="s">
        <v>1146</v>
      </c>
      <c r="AY12" s="388" t="s">
        <v>170</v>
      </c>
      <c r="AZ12" s="388" t="s">
        <v>1147</v>
      </c>
      <c r="BA12" s="388" t="s">
        <v>172</v>
      </c>
      <c r="BS12" s="7"/>
    </row>
    <row r="13" spans="1:75">
      <c r="B13" s="3" t="s">
        <v>705</v>
      </c>
      <c r="C13" s="3" t="s">
        <v>705</v>
      </c>
      <c r="D13" s="3" t="s">
        <v>705</v>
      </c>
      <c r="E13" s="3" t="s">
        <v>705</v>
      </c>
      <c r="F13" s="3" t="s">
        <v>1148</v>
      </c>
      <c r="G13" s="3" t="s">
        <v>1148</v>
      </c>
      <c r="H13" s="3" t="s">
        <v>1149</v>
      </c>
      <c r="I13" s="3" t="s">
        <v>1149</v>
      </c>
      <c r="J13" s="3" t="s">
        <v>1148</v>
      </c>
      <c r="K13" s="3" t="s">
        <v>1148</v>
      </c>
      <c r="L13" s="3" t="s">
        <v>1148</v>
      </c>
      <c r="M13" s="3" t="s">
        <v>1148</v>
      </c>
      <c r="N13" s="3" t="s">
        <v>1148</v>
      </c>
      <c r="O13" s="3" t="s">
        <v>1148</v>
      </c>
      <c r="P13" s="3" t="s">
        <v>1148</v>
      </c>
      <c r="Q13" s="3" t="s">
        <v>1148</v>
      </c>
      <c r="R13" s="3" t="s">
        <v>1148</v>
      </c>
      <c r="S13" s="3" t="s">
        <v>1148</v>
      </c>
      <c r="T13" s="3" t="s">
        <v>1148</v>
      </c>
      <c r="U13" s="3" t="s">
        <v>1149</v>
      </c>
      <c r="V13" s="3" t="s">
        <v>1148</v>
      </c>
      <c r="W13" s="3" t="s">
        <v>1149</v>
      </c>
      <c r="X13" s="3" t="s">
        <v>1148</v>
      </c>
      <c r="Y13" s="3" t="s">
        <v>1149</v>
      </c>
      <c r="Z13" s="3" t="s">
        <v>1148</v>
      </c>
      <c r="AA13" s="3" t="s">
        <v>1149</v>
      </c>
      <c r="AB13" s="3" t="s">
        <v>1149</v>
      </c>
      <c r="AC13" s="3" t="s">
        <v>1149</v>
      </c>
      <c r="AD13" s="3" t="s">
        <v>1149</v>
      </c>
      <c r="AE13" s="3" t="s">
        <v>1149</v>
      </c>
      <c r="AF13" s="3" t="s">
        <v>1149</v>
      </c>
      <c r="AG13" s="3" t="s">
        <v>1149</v>
      </c>
      <c r="AH13" s="3" t="s">
        <v>1149</v>
      </c>
      <c r="AI13" s="3" t="s">
        <v>1149</v>
      </c>
      <c r="AJ13" s="3" t="s">
        <v>1149</v>
      </c>
      <c r="AK13" s="3" t="s">
        <v>1149</v>
      </c>
      <c r="AL13" s="3" t="s">
        <v>1149</v>
      </c>
      <c r="AM13" s="3" t="s">
        <v>1149</v>
      </c>
      <c r="AN13" s="3" t="s">
        <v>1149</v>
      </c>
      <c r="AO13" s="3" t="s">
        <v>1149</v>
      </c>
      <c r="AP13" s="3" t="s">
        <v>1149</v>
      </c>
      <c r="AQ13" s="3" t="s">
        <v>1149</v>
      </c>
      <c r="AR13" s="3" t="s">
        <v>1149</v>
      </c>
      <c r="AS13" s="3" t="s">
        <v>1149</v>
      </c>
      <c r="AT13" s="3" t="s">
        <v>1149</v>
      </c>
      <c r="AU13" s="3" t="s">
        <v>1149</v>
      </c>
      <c r="AV13" s="3" t="s">
        <v>1149</v>
      </c>
      <c r="AW13" s="3" t="s">
        <v>1149</v>
      </c>
      <c r="AX13" s="3" t="s">
        <v>1149</v>
      </c>
      <c r="AY13" s="3" t="s">
        <v>1149</v>
      </c>
      <c r="AZ13" s="3" t="s">
        <v>1149</v>
      </c>
      <c r="BA13" s="3" t="s">
        <v>1149</v>
      </c>
      <c r="BS13" s="7"/>
    </row>
    <row r="14" spans="1:75">
      <c r="A14" s="3" t="s">
        <v>15</v>
      </c>
      <c r="B14" s="391">
        <v>120.71</v>
      </c>
      <c r="C14" s="391">
        <v>38.81</v>
      </c>
      <c r="D14" s="391">
        <v>5.0599999999999996</v>
      </c>
      <c r="E14" s="391">
        <v>9.51</v>
      </c>
      <c r="F14" s="391">
        <v>3.8</v>
      </c>
      <c r="G14" s="391">
        <v>6.4</v>
      </c>
      <c r="H14" s="391">
        <v>1</v>
      </c>
      <c r="I14" s="391">
        <v>1</v>
      </c>
      <c r="J14" s="391">
        <v>7.09</v>
      </c>
      <c r="K14" s="391">
        <v>35.222999999999999</v>
      </c>
      <c r="L14" s="391">
        <v>9.0030000000000001</v>
      </c>
      <c r="M14" s="391">
        <v>12.45</v>
      </c>
      <c r="N14" s="391">
        <v>45.17</v>
      </c>
      <c r="O14" s="391">
        <v>50.8</v>
      </c>
      <c r="P14" s="391">
        <v>3.16</v>
      </c>
      <c r="Q14" s="391">
        <v>1.5</v>
      </c>
      <c r="R14" s="391">
        <v>1.5</v>
      </c>
      <c r="S14" s="391">
        <v>2.4</v>
      </c>
      <c r="T14" s="391">
        <v>0.9</v>
      </c>
      <c r="U14" s="391">
        <v>1</v>
      </c>
      <c r="V14" s="391">
        <v>0.9</v>
      </c>
      <c r="W14" s="391">
        <v>1</v>
      </c>
      <c r="X14" s="391">
        <v>0</v>
      </c>
      <c r="Y14" s="391">
        <v>0</v>
      </c>
      <c r="Z14" s="391">
        <v>1.2</v>
      </c>
      <c r="AA14" s="391">
        <v>9</v>
      </c>
      <c r="AB14" s="391">
        <v>0</v>
      </c>
      <c r="AC14" s="391">
        <v>0</v>
      </c>
      <c r="AD14" s="391">
        <v>0</v>
      </c>
      <c r="AE14" s="391">
        <v>1</v>
      </c>
      <c r="AF14" s="391">
        <v>1</v>
      </c>
      <c r="AG14" s="391">
        <v>2</v>
      </c>
      <c r="AH14" s="391"/>
      <c r="AI14" s="391"/>
      <c r="AJ14" s="391">
        <v>1</v>
      </c>
      <c r="AK14" s="391"/>
      <c r="AL14" s="391"/>
      <c r="AM14" s="391"/>
      <c r="AN14" s="391"/>
      <c r="AO14" s="391"/>
      <c r="AP14" s="391">
        <v>1</v>
      </c>
      <c r="AQ14" s="391"/>
      <c r="AR14" s="391"/>
      <c r="AS14" s="391"/>
      <c r="AT14" s="391"/>
      <c r="AU14" s="391"/>
      <c r="AV14" s="391"/>
      <c r="AW14" s="391"/>
      <c r="AX14" s="391"/>
      <c r="AY14" s="391"/>
      <c r="AZ14" s="391"/>
      <c r="BA14" s="391"/>
      <c r="BB14" s="9">
        <v>279204</v>
      </c>
      <c r="BC14" s="9">
        <v>292541</v>
      </c>
      <c r="BD14" s="9">
        <v>3000</v>
      </c>
      <c r="BE14" s="9">
        <f>+BC14-BB14</f>
        <v>13337</v>
      </c>
      <c r="BF14" s="3">
        <v>44.2</v>
      </c>
      <c r="BG14" s="3">
        <v>1.1000000000000001</v>
      </c>
      <c r="BH14" s="3">
        <f>+BG14*BF14</f>
        <v>48.620000000000005</v>
      </c>
      <c r="BI14" s="3">
        <v>42.17</v>
      </c>
      <c r="BJ14" s="3">
        <v>1.1000000000000001</v>
      </c>
      <c r="BK14" s="3">
        <f>+BJ14*BI14</f>
        <v>46.387000000000008</v>
      </c>
      <c r="BL14" s="3">
        <v>52</v>
      </c>
      <c r="BM14" s="3">
        <v>174.08</v>
      </c>
      <c r="BN14" s="3">
        <f>+Shepparton!F4-Shepparton!C4</f>
        <v>290005</v>
      </c>
      <c r="BO14" s="3">
        <f t="shared" ref="BO14:BO83" si="0">+ROUND(BN14/BM14,)</f>
        <v>1666</v>
      </c>
      <c r="BQ14" s="8"/>
      <c r="BS14" s="6"/>
      <c r="BT14" s="6"/>
    </row>
    <row r="15" spans="1:75">
      <c r="A15" s="3" t="s">
        <v>16</v>
      </c>
      <c r="B15" s="391">
        <v>142.05000000000001</v>
      </c>
      <c r="C15" s="391">
        <v>38.79</v>
      </c>
      <c r="D15" s="391">
        <v>5.0599999999999996</v>
      </c>
      <c r="E15" s="391">
        <v>10.31</v>
      </c>
      <c r="F15" s="391"/>
      <c r="G15" s="391"/>
      <c r="H15" s="391">
        <v>1</v>
      </c>
      <c r="I15" s="391"/>
      <c r="J15" s="391">
        <v>7.09</v>
      </c>
      <c r="K15" s="391">
        <v>35.225999999999999</v>
      </c>
      <c r="L15" s="391">
        <v>9.0030000000000001</v>
      </c>
      <c r="M15" s="391">
        <v>14.97</v>
      </c>
      <c r="N15" s="391">
        <v>50.21</v>
      </c>
      <c r="O15" s="391">
        <v>54.65</v>
      </c>
      <c r="P15" s="391">
        <v>3.16</v>
      </c>
      <c r="Q15" s="391">
        <v>1.43</v>
      </c>
      <c r="R15" s="391">
        <v>1.43</v>
      </c>
      <c r="S15" s="391">
        <v>2.35</v>
      </c>
      <c r="T15" s="391">
        <v>0.9</v>
      </c>
      <c r="U15" s="391">
        <v>1</v>
      </c>
      <c r="V15" s="391">
        <v>0.9</v>
      </c>
      <c r="W15" s="391">
        <v>1</v>
      </c>
      <c r="X15" s="391">
        <v>0</v>
      </c>
      <c r="Y15" s="391">
        <v>0</v>
      </c>
      <c r="Z15" s="391">
        <v>1.2</v>
      </c>
      <c r="AA15" s="391"/>
      <c r="AB15" s="391"/>
      <c r="AC15" s="391"/>
      <c r="AD15" s="391"/>
      <c r="AE15" s="391"/>
      <c r="AF15" s="391"/>
      <c r="AG15" s="391"/>
      <c r="AH15" s="391"/>
      <c r="AI15" s="391"/>
      <c r="AJ15" s="391"/>
      <c r="AK15" s="391"/>
      <c r="AL15" s="391"/>
      <c r="AM15" s="391"/>
      <c r="AN15" s="391"/>
      <c r="AO15" s="391"/>
      <c r="AP15" s="391"/>
      <c r="AQ15" s="391"/>
      <c r="AR15" s="391"/>
      <c r="AS15" s="391"/>
      <c r="AT15" s="391"/>
      <c r="AU15" s="391"/>
      <c r="AV15" s="391"/>
      <c r="AW15" s="391"/>
      <c r="AX15" s="391"/>
      <c r="AY15" s="391"/>
      <c r="AZ15" s="391"/>
      <c r="BA15" s="391"/>
      <c r="BB15" s="9">
        <v>293633</v>
      </c>
      <c r="BC15" s="9">
        <v>306971</v>
      </c>
      <c r="BD15" s="9">
        <v>3000</v>
      </c>
      <c r="BE15" s="9">
        <f t="shared" ref="BE15:BE83" si="1">+BC15-BB15</f>
        <v>13338</v>
      </c>
      <c r="BF15" s="3">
        <v>45.36</v>
      </c>
      <c r="BG15" s="3">
        <v>1.1000000000000001</v>
      </c>
      <c r="BH15" s="3">
        <f t="shared" ref="BH15:BH83" si="2">+BG15*BF15</f>
        <v>49.896000000000001</v>
      </c>
      <c r="BI15" s="3">
        <v>62.1</v>
      </c>
      <c r="BJ15" s="3">
        <v>1.1000000000000001</v>
      </c>
      <c r="BK15" s="3">
        <f t="shared" ref="BK15:BK83" si="3">+BJ15*BI15</f>
        <v>68.31</v>
      </c>
      <c r="BL15" s="3">
        <v>57</v>
      </c>
      <c r="BM15" s="3">
        <v>196.26</v>
      </c>
      <c r="BN15" s="3">
        <f>+Shepparton!F5-Shepparton!C5</f>
        <v>305880</v>
      </c>
      <c r="BO15" s="3">
        <f t="shared" si="0"/>
        <v>1559</v>
      </c>
      <c r="BQ15" s="8"/>
      <c r="BS15" s="6"/>
      <c r="BT15" s="6"/>
    </row>
    <row r="16" spans="1:75">
      <c r="A16" s="3" t="s">
        <v>17</v>
      </c>
      <c r="B16" s="391">
        <v>154.9</v>
      </c>
      <c r="C16" s="391">
        <v>38.57</v>
      </c>
      <c r="D16" s="391">
        <v>4.18</v>
      </c>
      <c r="E16" s="391">
        <v>11.61</v>
      </c>
      <c r="F16" s="391"/>
      <c r="G16" s="391"/>
      <c r="H16" s="391">
        <v>2</v>
      </c>
      <c r="I16" s="391"/>
      <c r="J16" s="391">
        <v>5.9649999999999999</v>
      </c>
      <c r="K16" s="391">
        <v>37.710999999999999</v>
      </c>
      <c r="L16" s="391">
        <v>10.26</v>
      </c>
      <c r="M16" s="391">
        <v>15.34</v>
      </c>
      <c r="N16" s="391">
        <v>51.73</v>
      </c>
      <c r="O16" s="391">
        <v>64.2</v>
      </c>
      <c r="P16" s="391">
        <v>2.8</v>
      </c>
      <c r="Q16" s="391">
        <v>3.1</v>
      </c>
      <c r="R16" s="391">
        <v>1.9</v>
      </c>
      <c r="S16" s="391">
        <v>2.5</v>
      </c>
      <c r="T16" s="391">
        <v>1.2</v>
      </c>
      <c r="U16" s="391">
        <v>1</v>
      </c>
      <c r="V16" s="391">
        <v>0.9</v>
      </c>
      <c r="W16" s="391">
        <v>1</v>
      </c>
      <c r="X16" s="391">
        <v>0</v>
      </c>
      <c r="Y16" s="391">
        <v>0</v>
      </c>
      <c r="Z16" s="391">
        <v>1.2</v>
      </c>
      <c r="AA16" s="391"/>
      <c r="AB16" s="391"/>
      <c r="AC16" s="391"/>
      <c r="AD16" s="391"/>
      <c r="AE16" s="391"/>
      <c r="AF16" s="391"/>
      <c r="AG16" s="391"/>
      <c r="AH16" s="391"/>
      <c r="AI16" s="391"/>
      <c r="AJ16" s="391"/>
      <c r="AK16" s="391"/>
      <c r="AL16" s="391"/>
      <c r="AM16" s="391"/>
      <c r="AN16" s="391"/>
      <c r="AO16" s="391"/>
      <c r="AP16" s="391"/>
      <c r="AQ16" s="391"/>
      <c r="AR16" s="391"/>
      <c r="AS16" s="391"/>
      <c r="AT16" s="391"/>
      <c r="AU16" s="391"/>
      <c r="AV16" s="391"/>
      <c r="AW16" s="391"/>
      <c r="AX16" s="391"/>
      <c r="AY16" s="391"/>
      <c r="AZ16" s="391"/>
      <c r="BA16" s="391"/>
      <c r="BB16" s="9">
        <v>307717</v>
      </c>
      <c r="BC16" s="9">
        <v>320996</v>
      </c>
      <c r="BD16" s="9">
        <v>3000</v>
      </c>
      <c r="BE16" s="9">
        <f t="shared" si="1"/>
        <v>13279</v>
      </c>
      <c r="BF16" s="3">
        <v>52.38</v>
      </c>
      <c r="BG16" s="3">
        <v>1.1000000000000001</v>
      </c>
      <c r="BH16" s="3">
        <f t="shared" si="2"/>
        <v>57.618000000000009</v>
      </c>
      <c r="BI16" s="3">
        <v>61.84</v>
      </c>
      <c r="BJ16" s="3">
        <v>1.1000000000000001</v>
      </c>
      <c r="BK16" s="3">
        <f t="shared" si="3"/>
        <v>68.024000000000015</v>
      </c>
      <c r="BL16" s="3">
        <v>60</v>
      </c>
      <c r="BM16" s="3">
        <v>209.25</v>
      </c>
      <c r="BN16" s="3">
        <f>+Shepparton!F6-Shepparton!C6</f>
        <v>320740</v>
      </c>
      <c r="BO16" s="3">
        <f t="shared" si="0"/>
        <v>1533</v>
      </c>
      <c r="BQ16" s="8"/>
      <c r="BS16" s="6"/>
      <c r="BT16" s="6"/>
    </row>
    <row r="17" spans="1:72">
      <c r="A17" s="3" t="s">
        <v>18</v>
      </c>
      <c r="B17" s="391">
        <v>154.9</v>
      </c>
      <c r="C17" s="391">
        <v>38.57</v>
      </c>
      <c r="D17" s="391">
        <v>4.18</v>
      </c>
      <c r="E17" s="391">
        <v>11.66</v>
      </c>
      <c r="F17" s="391"/>
      <c r="G17" s="391"/>
      <c r="H17" s="391">
        <v>2</v>
      </c>
      <c r="I17" s="391"/>
      <c r="J17" s="391">
        <v>5.9649999999999999</v>
      </c>
      <c r="K17" s="391">
        <v>37.710999999999999</v>
      </c>
      <c r="L17" s="391">
        <v>10.26</v>
      </c>
      <c r="M17" s="391">
        <v>15.34</v>
      </c>
      <c r="N17" s="391">
        <v>51.73</v>
      </c>
      <c r="O17" s="391">
        <v>68.349999999999994</v>
      </c>
      <c r="P17" s="391">
        <v>2.8</v>
      </c>
      <c r="Q17" s="391">
        <v>3.1</v>
      </c>
      <c r="R17" s="391">
        <v>1.9</v>
      </c>
      <c r="S17" s="391">
        <v>2.5</v>
      </c>
      <c r="T17" s="391">
        <v>1.2</v>
      </c>
      <c r="U17" s="391">
        <v>1</v>
      </c>
      <c r="V17" s="391">
        <v>0.9</v>
      </c>
      <c r="W17" s="391">
        <v>1</v>
      </c>
      <c r="X17" s="391">
        <v>0</v>
      </c>
      <c r="Y17" s="391">
        <v>0</v>
      </c>
      <c r="Z17" s="391">
        <v>1.2</v>
      </c>
      <c r="AA17" s="391"/>
      <c r="AB17" s="391"/>
      <c r="AC17" s="391"/>
      <c r="AD17" s="391"/>
      <c r="AE17" s="391"/>
      <c r="AF17" s="391"/>
      <c r="AG17" s="391"/>
      <c r="AH17" s="391"/>
      <c r="AI17" s="391"/>
      <c r="AJ17" s="391"/>
      <c r="AK17" s="391"/>
      <c r="AL17" s="391"/>
      <c r="AM17" s="391"/>
      <c r="AN17" s="391"/>
      <c r="AO17" s="391"/>
      <c r="AP17" s="391"/>
      <c r="AQ17" s="391"/>
      <c r="AR17" s="391"/>
      <c r="AS17" s="391"/>
      <c r="AT17" s="391"/>
      <c r="AU17" s="391"/>
      <c r="AV17" s="391"/>
      <c r="AW17" s="391"/>
      <c r="AX17" s="391"/>
      <c r="AY17" s="391"/>
      <c r="AZ17" s="391"/>
      <c r="BA17" s="391"/>
      <c r="BB17" s="9">
        <v>309383</v>
      </c>
      <c r="BC17" s="9">
        <v>322640</v>
      </c>
      <c r="BD17" s="9">
        <v>3000</v>
      </c>
      <c r="BE17" s="9">
        <f t="shared" si="1"/>
        <v>13257</v>
      </c>
      <c r="BF17" s="3">
        <v>51.94</v>
      </c>
      <c r="BG17" s="3">
        <v>1.1000000000000001</v>
      </c>
      <c r="BH17" s="3">
        <f t="shared" si="2"/>
        <v>57.134</v>
      </c>
      <c r="BI17" s="3">
        <v>60.31</v>
      </c>
      <c r="BJ17" s="3">
        <v>1.1000000000000001</v>
      </c>
      <c r="BK17" s="3">
        <f t="shared" si="3"/>
        <v>66.341000000000008</v>
      </c>
      <c r="BL17" s="3">
        <v>60</v>
      </c>
      <c r="BM17" s="3">
        <v>209.25</v>
      </c>
      <c r="BN17" s="3">
        <f>+Shepparton!F7-Shepparton!C7</f>
        <v>322260</v>
      </c>
      <c r="BO17" s="3">
        <f t="shared" si="0"/>
        <v>1540</v>
      </c>
      <c r="BQ17" s="8"/>
      <c r="BS17" s="6"/>
      <c r="BT17" s="6"/>
    </row>
    <row r="18" spans="1:72">
      <c r="A18" s="3" t="s">
        <v>19</v>
      </c>
      <c r="B18" s="391">
        <v>170.21</v>
      </c>
      <c r="C18" s="391">
        <v>38.68</v>
      </c>
      <c r="D18" s="391">
        <v>5.08</v>
      </c>
      <c r="E18" s="391">
        <v>11.92</v>
      </c>
      <c r="F18" s="391"/>
      <c r="G18" s="391"/>
      <c r="H18" s="391">
        <v>1</v>
      </c>
      <c r="I18" s="391"/>
      <c r="J18" s="391">
        <v>7.09</v>
      </c>
      <c r="K18" s="391">
        <v>37.32</v>
      </c>
      <c r="L18" s="391">
        <v>9.0020000000000007</v>
      </c>
      <c r="M18" s="391">
        <v>15.66</v>
      </c>
      <c r="N18" s="391">
        <v>55.29</v>
      </c>
      <c r="O18" s="391">
        <v>67.25</v>
      </c>
      <c r="P18" s="391">
        <v>3.9</v>
      </c>
      <c r="Q18" s="391">
        <v>2.08</v>
      </c>
      <c r="R18" s="391">
        <v>2.08</v>
      </c>
      <c r="S18" s="391">
        <v>2.7</v>
      </c>
      <c r="T18" s="391">
        <v>0.9</v>
      </c>
      <c r="U18" s="391">
        <v>1</v>
      </c>
      <c r="V18" s="391">
        <v>0.9</v>
      </c>
      <c r="W18" s="391">
        <v>1</v>
      </c>
      <c r="X18" s="391">
        <v>0</v>
      </c>
      <c r="Y18" s="391">
        <v>0</v>
      </c>
      <c r="Z18" s="391">
        <v>1.2</v>
      </c>
      <c r="AA18" s="391"/>
      <c r="AB18" s="391"/>
      <c r="AC18" s="391"/>
      <c r="AD18" s="391"/>
      <c r="AE18" s="391"/>
      <c r="AF18" s="391"/>
      <c r="AG18" s="391"/>
      <c r="AH18" s="391"/>
      <c r="AI18" s="391"/>
      <c r="AJ18" s="391"/>
      <c r="AK18" s="391"/>
      <c r="AL18" s="391"/>
      <c r="AM18" s="391"/>
      <c r="AN18" s="391"/>
      <c r="AO18" s="391"/>
      <c r="AP18" s="391"/>
      <c r="AQ18" s="391"/>
      <c r="AR18" s="391"/>
      <c r="AS18" s="391"/>
      <c r="AT18" s="391"/>
      <c r="AU18" s="391"/>
      <c r="AV18" s="391"/>
      <c r="AW18" s="391"/>
      <c r="AX18" s="391"/>
      <c r="AY18" s="391"/>
      <c r="AZ18" s="391"/>
      <c r="BA18" s="391"/>
      <c r="BB18" s="9">
        <v>316962</v>
      </c>
      <c r="BC18" s="9">
        <v>330230</v>
      </c>
      <c r="BD18" s="9">
        <v>3000</v>
      </c>
      <c r="BE18" s="9">
        <f t="shared" si="1"/>
        <v>13268</v>
      </c>
      <c r="BF18" s="3">
        <v>56.63</v>
      </c>
      <c r="BG18" s="3">
        <v>1.1000000000000001</v>
      </c>
      <c r="BH18" s="3">
        <f t="shared" si="2"/>
        <v>62.293000000000006</v>
      </c>
      <c r="BI18" s="3">
        <v>75.55</v>
      </c>
      <c r="BJ18" s="3">
        <v>1.1000000000000001</v>
      </c>
      <c r="BK18" s="3">
        <f t="shared" si="3"/>
        <v>83.105000000000004</v>
      </c>
      <c r="BL18" s="3">
        <v>62</v>
      </c>
      <c r="BM18" s="3">
        <v>225.88</v>
      </c>
      <c r="BN18" s="3">
        <f>+Shepparton!F8-Shepparton!C8</f>
        <v>331380</v>
      </c>
      <c r="BO18" s="3">
        <f t="shared" si="0"/>
        <v>1467</v>
      </c>
      <c r="BQ18" s="8"/>
      <c r="BS18" s="6"/>
      <c r="BT18" s="6"/>
    </row>
    <row r="19" spans="1:72">
      <c r="A19" s="3" t="s">
        <v>20</v>
      </c>
      <c r="B19" s="391">
        <v>269.77999999999997</v>
      </c>
      <c r="C19" s="391">
        <v>41.25</v>
      </c>
      <c r="D19" s="391">
        <v>6.32</v>
      </c>
      <c r="E19" s="391">
        <v>13.24</v>
      </c>
      <c r="F19" s="391"/>
      <c r="G19" s="391"/>
      <c r="H19" s="391">
        <v>3</v>
      </c>
      <c r="I19" s="391"/>
      <c r="J19" s="391">
        <v>6.69</v>
      </c>
      <c r="K19" s="391">
        <v>41.9</v>
      </c>
      <c r="L19" s="391">
        <v>9.02</v>
      </c>
      <c r="M19" s="391">
        <v>11.26</v>
      </c>
      <c r="N19" s="391">
        <v>51.01</v>
      </c>
      <c r="O19" s="391">
        <v>75.349999999999994</v>
      </c>
      <c r="P19" s="391">
        <v>3.75</v>
      </c>
      <c r="Q19" s="391">
        <v>2.75</v>
      </c>
      <c r="R19" s="391">
        <v>2.75</v>
      </c>
      <c r="S19" s="391">
        <v>2.7</v>
      </c>
      <c r="T19" s="391">
        <v>0.9</v>
      </c>
      <c r="U19" s="391">
        <v>1</v>
      </c>
      <c r="V19" s="391">
        <v>0.9</v>
      </c>
      <c r="W19" s="391">
        <v>1</v>
      </c>
      <c r="X19" s="391">
        <v>0</v>
      </c>
      <c r="Y19" s="391">
        <v>0</v>
      </c>
      <c r="Z19" s="391">
        <v>1.2</v>
      </c>
      <c r="AA19" s="391"/>
      <c r="AB19" s="391"/>
      <c r="AC19" s="391"/>
      <c r="AD19" s="391"/>
      <c r="AE19" s="391"/>
      <c r="AF19" s="391"/>
      <c r="AG19" s="391"/>
      <c r="AH19" s="391"/>
      <c r="AI19" s="391"/>
      <c r="AJ19" s="391"/>
      <c r="AK19" s="391"/>
      <c r="AL19" s="391"/>
      <c r="AM19" s="391"/>
      <c r="AN19" s="391"/>
      <c r="AO19" s="391"/>
      <c r="AP19" s="391"/>
      <c r="AQ19" s="391"/>
      <c r="AR19" s="391"/>
      <c r="AS19" s="391"/>
      <c r="AT19" s="391"/>
      <c r="AU19" s="391"/>
      <c r="AV19" s="391"/>
      <c r="AW19" s="391"/>
      <c r="AX19" s="391"/>
      <c r="AY19" s="391"/>
      <c r="AZ19" s="391"/>
      <c r="BA19" s="391"/>
      <c r="BB19" s="9">
        <v>319218</v>
      </c>
      <c r="BC19" s="9">
        <v>332578</v>
      </c>
      <c r="BD19" s="9">
        <v>3000</v>
      </c>
      <c r="BE19" s="9">
        <f t="shared" si="1"/>
        <v>13360</v>
      </c>
      <c r="BF19" s="3">
        <v>76.52</v>
      </c>
      <c r="BG19" s="3">
        <v>1.1000000000000001</v>
      </c>
      <c r="BH19" s="3">
        <f t="shared" si="2"/>
        <v>84.171999999999997</v>
      </c>
      <c r="BI19" s="3">
        <v>52.6</v>
      </c>
      <c r="BJ19" s="3">
        <v>1.1000000000000001</v>
      </c>
      <c r="BK19" s="3">
        <f t="shared" si="3"/>
        <v>57.860000000000007</v>
      </c>
      <c r="BL19" s="3">
        <v>58</v>
      </c>
      <c r="BM19" s="3">
        <v>230.2</v>
      </c>
      <c r="BN19" s="3">
        <f>+Shepparton!F9-Shepparton!C9</f>
        <v>334365</v>
      </c>
      <c r="BO19" s="3">
        <f t="shared" si="0"/>
        <v>1452</v>
      </c>
      <c r="BQ19" s="8"/>
      <c r="BS19" s="6"/>
      <c r="BT19" s="6"/>
    </row>
    <row r="20" spans="1:72">
      <c r="A20" s="3" t="s">
        <v>21</v>
      </c>
      <c r="B20" s="391">
        <v>201.44</v>
      </c>
      <c r="C20" s="391">
        <v>41.23</v>
      </c>
      <c r="D20" s="391">
        <v>7.14</v>
      </c>
      <c r="E20" s="391">
        <v>28.76</v>
      </c>
      <c r="F20" s="391"/>
      <c r="G20" s="391"/>
      <c r="H20" s="391">
        <v>4</v>
      </c>
      <c r="I20" s="391"/>
      <c r="J20" s="391">
        <v>6.6349999999999998</v>
      </c>
      <c r="K20" s="391">
        <v>45.2</v>
      </c>
      <c r="L20" s="391">
        <v>22.53</v>
      </c>
      <c r="M20" s="391">
        <v>20.6</v>
      </c>
      <c r="N20" s="391">
        <v>55.19</v>
      </c>
      <c r="O20" s="391">
        <v>92.7</v>
      </c>
      <c r="P20" s="391">
        <v>6.78</v>
      </c>
      <c r="Q20" s="391">
        <v>2.75</v>
      </c>
      <c r="R20" s="391">
        <v>2.75</v>
      </c>
      <c r="S20" s="391">
        <v>2.7</v>
      </c>
      <c r="T20" s="391">
        <v>0.9</v>
      </c>
      <c r="U20" s="391">
        <v>1</v>
      </c>
      <c r="V20" s="391">
        <v>0.9</v>
      </c>
      <c r="W20" s="391">
        <v>1</v>
      </c>
      <c r="X20" s="391">
        <v>1.2</v>
      </c>
      <c r="Y20" s="391">
        <v>1</v>
      </c>
      <c r="Z20" s="391">
        <v>1.2</v>
      </c>
      <c r="AA20" s="391"/>
      <c r="AB20" s="391"/>
      <c r="AC20" s="391"/>
      <c r="AD20" s="391"/>
      <c r="AE20" s="391"/>
      <c r="AF20" s="391"/>
      <c r="AG20" s="391"/>
      <c r="AH20" s="391"/>
      <c r="AI20" s="391"/>
      <c r="AJ20" s="391"/>
      <c r="AK20" s="391"/>
      <c r="AL20" s="391"/>
      <c r="AM20" s="391"/>
      <c r="AN20" s="391"/>
      <c r="AO20" s="391"/>
      <c r="AP20" s="391"/>
      <c r="AQ20" s="391"/>
      <c r="AR20" s="391"/>
      <c r="AS20" s="391"/>
      <c r="AT20" s="391"/>
      <c r="AU20" s="391"/>
      <c r="AV20" s="391"/>
      <c r="AW20" s="391"/>
      <c r="AX20" s="391"/>
      <c r="AY20" s="391"/>
      <c r="AZ20" s="391"/>
      <c r="BA20" s="391"/>
      <c r="BB20" s="9">
        <v>355577</v>
      </c>
      <c r="BC20" s="9">
        <v>368840</v>
      </c>
      <c r="BD20" s="9">
        <v>4000</v>
      </c>
      <c r="BE20" s="9">
        <f t="shared" si="1"/>
        <v>13263</v>
      </c>
      <c r="BF20" s="3">
        <v>70.06</v>
      </c>
      <c r="BG20" s="3">
        <v>1.1000000000000001</v>
      </c>
      <c r="BH20" s="3">
        <f t="shared" si="2"/>
        <v>77.066000000000003</v>
      </c>
      <c r="BI20" s="3">
        <v>84.94</v>
      </c>
      <c r="BJ20" s="3">
        <v>1.1000000000000001</v>
      </c>
      <c r="BK20" s="3">
        <f t="shared" si="3"/>
        <v>93.434000000000012</v>
      </c>
      <c r="BL20" s="3">
        <v>60</v>
      </c>
      <c r="BM20" s="3">
        <v>278.55</v>
      </c>
      <c r="BN20" s="3">
        <f>+Shepparton!F10-Shepparton!C10</f>
        <v>373130</v>
      </c>
      <c r="BO20" s="3">
        <f t="shared" si="0"/>
        <v>1340</v>
      </c>
      <c r="BQ20" s="8"/>
      <c r="BS20" s="6"/>
      <c r="BT20" s="6"/>
    </row>
    <row r="21" spans="1:72">
      <c r="A21" s="3" t="s">
        <v>22</v>
      </c>
      <c r="B21" s="391">
        <v>228.94</v>
      </c>
      <c r="C21" s="391">
        <v>41.16</v>
      </c>
      <c r="D21" s="391">
        <v>7.38</v>
      </c>
      <c r="E21" s="391">
        <v>37.68</v>
      </c>
      <c r="F21" s="391"/>
      <c r="G21" s="391"/>
      <c r="H21" s="391">
        <v>4</v>
      </c>
      <c r="I21" s="391"/>
      <c r="J21" s="391">
        <v>6.64</v>
      </c>
      <c r="K21" s="391">
        <v>47.261000000000003</v>
      </c>
      <c r="L21" s="391">
        <v>25.68</v>
      </c>
      <c r="M21" s="391">
        <v>24.465</v>
      </c>
      <c r="N21" s="391">
        <v>60</v>
      </c>
      <c r="O21" s="391">
        <v>101</v>
      </c>
      <c r="P21" s="391">
        <v>6.7</v>
      </c>
      <c r="Q21" s="391">
        <v>2.85</v>
      </c>
      <c r="R21" s="391">
        <v>2.85</v>
      </c>
      <c r="S21" s="391">
        <v>2.7</v>
      </c>
      <c r="T21" s="391">
        <v>0.9</v>
      </c>
      <c r="U21" s="391">
        <v>1</v>
      </c>
      <c r="V21" s="391">
        <v>0.9</v>
      </c>
      <c r="W21" s="391">
        <v>1</v>
      </c>
      <c r="X21" s="392">
        <v>1.33</v>
      </c>
      <c r="Y21" s="391">
        <v>1</v>
      </c>
      <c r="Z21" s="391">
        <v>1.2</v>
      </c>
      <c r="AA21" s="391"/>
      <c r="AB21" s="391"/>
      <c r="AC21" s="391"/>
      <c r="AD21" s="391"/>
      <c r="AE21" s="391"/>
      <c r="AF21" s="391"/>
      <c r="AG21" s="391"/>
      <c r="AH21" s="391"/>
      <c r="AI21" s="391"/>
      <c r="AJ21" s="391"/>
      <c r="AK21" s="391"/>
      <c r="AL21" s="391"/>
      <c r="AM21" s="391"/>
      <c r="AN21" s="391"/>
      <c r="AO21" s="391"/>
      <c r="AP21" s="391"/>
      <c r="AQ21" s="391"/>
      <c r="AR21" s="391"/>
      <c r="AS21" s="391"/>
      <c r="AT21" s="391"/>
      <c r="AU21" s="391"/>
      <c r="AV21" s="391"/>
      <c r="AW21" s="391"/>
      <c r="AX21" s="391"/>
      <c r="AY21" s="391"/>
      <c r="AZ21" s="391"/>
      <c r="BA21" s="391"/>
      <c r="BB21" s="9">
        <v>382148</v>
      </c>
      <c r="BC21" s="9">
        <v>395470</v>
      </c>
      <c r="BD21" s="9">
        <v>4000</v>
      </c>
      <c r="BE21" s="9">
        <f t="shared" si="1"/>
        <v>13322</v>
      </c>
      <c r="BF21" s="3">
        <v>74.45</v>
      </c>
      <c r="BG21" s="3">
        <v>1.1000000000000001</v>
      </c>
      <c r="BH21" s="3">
        <f t="shared" si="2"/>
        <v>81.89500000000001</v>
      </c>
      <c r="BI21" s="3">
        <v>101.45</v>
      </c>
      <c r="BJ21" s="3">
        <v>1.1000000000000001</v>
      </c>
      <c r="BK21" s="3">
        <f t="shared" si="3"/>
        <v>111.59500000000001</v>
      </c>
      <c r="BL21" s="3">
        <v>74</v>
      </c>
      <c r="BM21" s="3">
        <v>315.14999999999998</v>
      </c>
      <c r="BN21" s="3">
        <f>+Shepparton!F11-Shepparton!C11</f>
        <v>401290</v>
      </c>
      <c r="BO21" s="3">
        <f t="shared" si="0"/>
        <v>1273</v>
      </c>
      <c r="BQ21" s="8"/>
      <c r="BS21" s="6"/>
      <c r="BT21" s="6"/>
    </row>
    <row r="22" spans="1:72">
      <c r="A22" s="3" t="s">
        <v>23</v>
      </c>
      <c r="B22" s="391">
        <v>126.99</v>
      </c>
      <c r="C22" s="391">
        <v>38.549999999999997</v>
      </c>
      <c r="D22" s="391">
        <v>5.03</v>
      </c>
      <c r="E22" s="391">
        <v>9.24</v>
      </c>
      <c r="F22" s="391"/>
      <c r="G22" s="391"/>
      <c r="H22" s="391">
        <v>2</v>
      </c>
      <c r="I22" s="391"/>
      <c r="J22" s="391">
        <v>6.08</v>
      </c>
      <c r="K22" s="391">
        <v>40.75</v>
      </c>
      <c r="L22" s="391">
        <v>10.6</v>
      </c>
      <c r="M22" s="391">
        <v>9.32</v>
      </c>
      <c r="N22" s="391">
        <v>44.06</v>
      </c>
      <c r="O22" s="391">
        <v>51.35</v>
      </c>
      <c r="P22" s="391">
        <v>4.0599999999999996</v>
      </c>
      <c r="Q22" s="391">
        <v>2.2400000000000002</v>
      </c>
      <c r="R22" s="391">
        <v>2.2400000000000002</v>
      </c>
      <c r="S22" s="391">
        <v>2.7</v>
      </c>
      <c r="T22" s="391">
        <v>0.9</v>
      </c>
      <c r="U22" s="391">
        <v>1</v>
      </c>
      <c r="V22" s="391">
        <v>0.9</v>
      </c>
      <c r="W22" s="391">
        <v>1</v>
      </c>
      <c r="X22" s="391">
        <v>0</v>
      </c>
      <c r="Y22" s="391">
        <v>0</v>
      </c>
      <c r="Z22" s="391">
        <v>1.2</v>
      </c>
      <c r="AA22" s="391"/>
      <c r="AB22" s="391"/>
      <c r="AC22" s="391"/>
      <c r="AD22" s="391"/>
      <c r="AE22" s="391"/>
      <c r="AF22" s="391"/>
      <c r="AG22" s="391"/>
      <c r="AH22" s="391"/>
      <c r="AI22" s="391"/>
      <c r="AJ22" s="391"/>
      <c r="AK22" s="391"/>
      <c r="AL22" s="391"/>
      <c r="AM22" s="391"/>
      <c r="AN22" s="391"/>
      <c r="AO22" s="391"/>
      <c r="AP22" s="391"/>
      <c r="AQ22" s="391"/>
      <c r="AR22" s="391"/>
      <c r="AS22" s="391"/>
      <c r="AT22" s="391"/>
      <c r="AU22" s="391"/>
      <c r="AV22" s="391"/>
      <c r="AW22" s="391"/>
      <c r="AX22" s="391"/>
      <c r="AY22" s="391"/>
      <c r="AZ22" s="391"/>
      <c r="BA22" s="391"/>
      <c r="BB22" s="9">
        <v>277619</v>
      </c>
      <c r="BC22" s="9">
        <v>290856</v>
      </c>
      <c r="BD22" s="9">
        <v>3000</v>
      </c>
      <c r="BE22" s="9">
        <f t="shared" si="1"/>
        <v>13237</v>
      </c>
      <c r="BF22" s="3">
        <v>51.21</v>
      </c>
      <c r="BG22" s="3">
        <v>1.1000000000000001</v>
      </c>
      <c r="BH22" s="3">
        <f t="shared" si="2"/>
        <v>56.331000000000003</v>
      </c>
      <c r="BI22" s="3">
        <v>42.5</v>
      </c>
      <c r="BJ22" s="3">
        <v>1.1000000000000001</v>
      </c>
      <c r="BK22" s="3">
        <f t="shared" si="3"/>
        <v>46.750000000000007</v>
      </c>
      <c r="BL22" s="3">
        <v>51</v>
      </c>
      <c r="BM22" s="3">
        <v>179.82</v>
      </c>
      <c r="BN22" s="3">
        <f>+Shepparton!F12-Shepparton!C12</f>
        <v>289230</v>
      </c>
      <c r="BO22" s="3">
        <f t="shared" si="0"/>
        <v>1608</v>
      </c>
      <c r="BQ22" s="8"/>
      <c r="BS22" s="6"/>
      <c r="BT22" s="6"/>
    </row>
    <row r="23" spans="1:72">
      <c r="A23" s="3" t="s">
        <v>1463</v>
      </c>
      <c r="B23" s="391"/>
      <c r="C23" s="391"/>
      <c r="D23" s="391"/>
      <c r="E23" s="391"/>
      <c r="F23" s="391"/>
      <c r="G23" s="391"/>
      <c r="H23" s="391"/>
      <c r="I23" s="391"/>
      <c r="J23" s="391"/>
      <c r="K23" s="391"/>
      <c r="L23" s="391"/>
      <c r="M23" s="391"/>
      <c r="N23" s="391"/>
      <c r="O23" s="391"/>
      <c r="P23" s="391"/>
      <c r="Q23" s="391"/>
      <c r="R23" s="391"/>
      <c r="S23" s="391"/>
      <c r="T23" s="391"/>
      <c r="U23" s="391"/>
      <c r="V23" s="391"/>
      <c r="W23" s="391"/>
      <c r="X23" s="391"/>
      <c r="Y23" s="391"/>
      <c r="Z23" s="391"/>
      <c r="AA23" s="391"/>
      <c r="AB23" s="391"/>
      <c r="AC23" s="391"/>
      <c r="AD23" s="391"/>
      <c r="AE23" s="391"/>
      <c r="AF23" s="391"/>
      <c r="AG23" s="391"/>
      <c r="AH23" s="391"/>
      <c r="AI23" s="391"/>
      <c r="AJ23" s="391"/>
      <c r="AK23" s="391"/>
      <c r="AL23" s="391"/>
      <c r="AM23" s="391"/>
      <c r="AN23" s="391"/>
      <c r="AO23" s="391"/>
      <c r="AP23" s="391"/>
      <c r="AQ23" s="391"/>
      <c r="AR23" s="391"/>
      <c r="AS23" s="391"/>
      <c r="AT23" s="391"/>
      <c r="AU23" s="391"/>
      <c r="AV23" s="391"/>
      <c r="AW23" s="391"/>
      <c r="AX23" s="391"/>
      <c r="AY23" s="391"/>
      <c r="AZ23" s="391"/>
      <c r="BA23" s="391"/>
      <c r="BB23" s="9">
        <v>297059</v>
      </c>
      <c r="BC23" s="9">
        <v>309921</v>
      </c>
      <c r="BD23" s="9">
        <v>3000</v>
      </c>
      <c r="BE23" s="9">
        <f t="shared" si="1"/>
        <v>12862</v>
      </c>
      <c r="BF23" s="3">
        <v>61.52</v>
      </c>
      <c r="BG23" s="3">
        <v>1.1000000000000001</v>
      </c>
      <c r="BH23" s="3">
        <f t="shared" ref="BH23" si="4">+BG23*BF23</f>
        <v>67.672000000000011</v>
      </c>
      <c r="BI23" s="3">
        <v>56.58</v>
      </c>
      <c r="BJ23" s="3">
        <v>1.1000000000000001</v>
      </c>
      <c r="BK23" s="3">
        <f t="shared" ref="BK23" si="5">+BJ23*BI23</f>
        <v>62.238000000000007</v>
      </c>
      <c r="BL23" s="3">
        <v>59</v>
      </c>
      <c r="BQ23" s="8"/>
      <c r="BS23" s="6"/>
      <c r="BT23" s="6"/>
    </row>
    <row r="24" spans="1:72">
      <c r="A24" s="3" t="s">
        <v>24</v>
      </c>
      <c r="B24" s="391">
        <v>155.58000000000001</v>
      </c>
      <c r="C24" s="391">
        <v>37.549999999999997</v>
      </c>
      <c r="D24" s="391">
        <v>4.13</v>
      </c>
      <c r="E24" s="391">
        <v>10.65</v>
      </c>
      <c r="F24" s="391"/>
      <c r="G24" s="391"/>
      <c r="H24" s="391">
        <v>2</v>
      </c>
      <c r="I24" s="391"/>
      <c r="J24" s="391">
        <v>6.9</v>
      </c>
      <c r="K24" s="391">
        <v>41.15</v>
      </c>
      <c r="L24" s="391">
        <v>11.14</v>
      </c>
      <c r="M24" s="391">
        <v>11.64</v>
      </c>
      <c r="N24" s="391">
        <v>48.69</v>
      </c>
      <c r="O24" s="391">
        <v>66.87</v>
      </c>
      <c r="P24" s="391">
        <v>2.7</v>
      </c>
      <c r="Q24" s="391">
        <v>1.8</v>
      </c>
      <c r="R24" s="391">
        <v>1.8</v>
      </c>
      <c r="S24" s="391">
        <v>2.7</v>
      </c>
      <c r="T24" s="391">
        <v>0.9</v>
      </c>
      <c r="U24" s="391">
        <v>1</v>
      </c>
      <c r="V24" s="391">
        <v>0.9</v>
      </c>
      <c r="W24" s="391">
        <v>1</v>
      </c>
      <c r="X24" s="391">
        <v>0</v>
      </c>
      <c r="Y24" s="391">
        <v>0</v>
      </c>
      <c r="Z24" s="391">
        <v>1.2</v>
      </c>
      <c r="AA24" s="391"/>
      <c r="AB24" s="391"/>
      <c r="AC24" s="391"/>
      <c r="AD24" s="391"/>
      <c r="AE24" s="391"/>
      <c r="AF24" s="391"/>
      <c r="AG24" s="391"/>
      <c r="AH24" s="391"/>
      <c r="AI24" s="391"/>
      <c r="AJ24" s="391"/>
      <c r="AK24" s="391"/>
      <c r="AL24" s="391"/>
      <c r="AM24" s="391"/>
      <c r="AN24" s="391"/>
      <c r="AO24" s="391"/>
      <c r="AP24" s="391"/>
      <c r="AQ24" s="391"/>
      <c r="AR24" s="391"/>
      <c r="AS24" s="391"/>
      <c r="AT24" s="391"/>
      <c r="AU24" s="391"/>
      <c r="AV24" s="391"/>
      <c r="AW24" s="391"/>
      <c r="AX24" s="391"/>
      <c r="AY24" s="391"/>
      <c r="AZ24" s="391"/>
      <c r="BA24" s="391"/>
      <c r="BB24" s="9">
        <v>294577</v>
      </c>
      <c r="BC24" s="9">
        <v>307545</v>
      </c>
      <c r="BD24" s="9">
        <v>3000</v>
      </c>
      <c r="BE24" s="9">
        <f t="shared" si="1"/>
        <v>12968</v>
      </c>
      <c r="BF24" s="3">
        <v>60.5</v>
      </c>
      <c r="BG24" s="3">
        <v>1.1000000000000001</v>
      </c>
      <c r="BH24" s="3">
        <f t="shared" si="2"/>
        <v>66.550000000000011</v>
      </c>
      <c r="BI24" s="3">
        <v>58.66</v>
      </c>
      <c r="BJ24" s="3">
        <v>1.1000000000000001</v>
      </c>
      <c r="BK24" s="3">
        <f t="shared" si="3"/>
        <v>64.525999999999996</v>
      </c>
      <c r="BL24" s="3">
        <v>56</v>
      </c>
      <c r="BM24" s="3">
        <v>207.9</v>
      </c>
      <c r="BN24" s="3">
        <f>+Shepparton!F14-Shepparton!C14</f>
        <v>308310</v>
      </c>
      <c r="BO24" s="3">
        <f t="shared" si="0"/>
        <v>1483</v>
      </c>
      <c r="BQ24" s="8"/>
      <c r="BS24" s="6"/>
      <c r="BT24" s="6"/>
    </row>
    <row r="25" spans="1:72">
      <c r="A25" s="3" t="s">
        <v>1625</v>
      </c>
      <c r="B25" s="391"/>
      <c r="C25" s="391"/>
      <c r="D25" s="391"/>
      <c r="E25" s="391"/>
      <c r="F25" s="391"/>
      <c r="G25" s="391"/>
      <c r="H25" s="391"/>
      <c r="I25" s="391"/>
      <c r="J25" s="391"/>
      <c r="K25" s="391"/>
      <c r="L25" s="391"/>
      <c r="M25" s="391"/>
      <c r="N25" s="391"/>
      <c r="O25" s="391"/>
      <c r="P25" s="391"/>
      <c r="Q25" s="391"/>
      <c r="R25" s="391"/>
      <c r="S25" s="391"/>
      <c r="T25" s="391"/>
      <c r="U25" s="391"/>
      <c r="V25" s="391"/>
      <c r="W25" s="391"/>
      <c r="X25" s="391"/>
      <c r="Y25" s="391"/>
      <c r="Z25" s="391"/>
      <c r="AA25" s="391"/>
      <c r="AB25" s="391"/>
      <c r="AC25" s="391"/>
      <c r="AD25" s="391"/>
      <c r="AE25" s="391"/>
      <c r="AF25" s="391"/>
      <c r="AG25" s="391"/>
      <c r="AH25" s="391"/>
      <c r="AI25" s="391"/>
      <c r="AJ25" s="391"/>
      <c r="AK25" s="391"/>
      <c r="AL25" s="391"/>
      <c r="AM25" s="391"/>
      <c r="AN25" s="391"/>
      <c r="AO25" s="391"/>
      <c r="AP25" s="391"/>
      <c r="AQ25" s="391"/>
      <c r="AR25" s="391"/>
      <c r="AS25" s="391"/>
      <c r="AT25" s="391"/>
      <c r="AU25" s="391"/>
      <c r="AV25" s="391"/>
      <c r="AW25" s="391"/>
      <c r="AX25" s="391"/>
      <c r="AY25" s="391"/>
      <c r="AZ25" s="391"/>
      <c r="BA25" s="391"/>
      <c r="BB25" s="9">
        <v>300718</v>
      </c>
      <c r="BC25" s="9">
        <v>313916</v>
      </c>
      <c r="BD25" s="9">
        <v>3000</v>
      </c>
      <c r="BE25" s="9">
        <f t="shared" si="1"/>
        <v>13198</v>
      </c>
      <c r="BF25" s="3">
        <v>65.930000000000007</v>
      </c>
      <c r="BG25" s="3">
        <v>1.1000000000000001</v>
      </c>
      <c r="BH25" s="3">
        <f t="shared" si="2"/>
        <v>72.52300000000001</v>
      </c>
      <c r="BI25" s="3">
        <v>54.72</v>
      </c>
      <c r="BJ25" s="3">
        <v>1.1000000000000001</v>
      </c>
      <c r="BK25" s="3">
        <f t="shared" si="3"/>
        <v>60.192</v>
      </c>
      <c r="BL25" s="3">
        <v>56</v>
      </c>
      <c r="BQ25" s="8"/>
      <c r="BS25" s="6"/>
      <c r="BT25" s="6"/>
    </row>
    <row r="26" spans="1:72">
      <c r="A26" s="3" t="s">
        <v>25</v>
      </c>
      <c r="B26" s="391">
        <v>164</v>
      </c>
      <c r="C26" s="391">
        <v>38.5</v>
      </c>
      <c r="D26" s="391">
        <v>4.99</v>
      </c>
      <c r="E26" s="391">
        <v>16.12</v>
      </c>
      <c r="F26" s="391"/>
      <c r="G26" s="391"/>
      <c r="H26" s="391">
        <v>2</v>
      </c>
      <c r="I26" s="391"/>
      <c r="J26" s="391">
        <v>6.7</v>
      </c>
      <c r="K26" s="391">
        <v>41.54</v>
      </c>
      <c r="L26" s="391">
        <v>10.814</v>
      </c>
      <c r="M26" s="391">
        <v>13.1</v>
      </c>
      <c r="N26" s="391">
        <v>52</v>
      </c>
      <c r="O26" s="391">
        <v>65.900000000000006</v>
      </c>
      <c r="P26" s="391">
        <v>2.8</v>
      </c>
      <c r="Q26" s="391">
        <v>1.9</v>
      </c>
      <c r="R26" s="391">
        <v>1.9</v>
      </c>
      <c r="S26" s="391">
        <v>2.7</v>
      </c>
      <c r="T26" s="391">
        <v>0.9</v>
      </c>
      <c r="U26" s="391">
        <v>1</v>
      </c>
      <c r="V26" s="391">
        <v>0.9</v>
      </c>
      <c r="W26" s="391">
        <v>1</v>
      </c>
      <c r="X26" s="391">
        <v>0</v>
      </c>
      <c r="Y26" s="391">
        <v>0</v>
      </c>
      <c r="Z26" s="391">
        <v>1.2</v>
      </c>
      <c r="AA26" s="391"/>
      <c r="AB26" s="391"/>
      <c r="AC26" s="391"/>
      <c r="AD26" s="391"/>
      <c r="AE26" s="391"/>
      <c r="AF26" s="391"/>
      <c r="AG26" s="391"/>
      <c r="AH26" s="391"/>
      <c r="AI26" s="391"/>
      <c r="AJ26" s="391"/>
      <c r="AK26" s="391"/>
      <c r="AL26" s="391"/>
      <c r="AM26" s="391"/>
      <c r="AN26" s="391"/>
      <c r="AO26" s="391"/>
      <c r="AP26" s="391"/>
      <c r="AQ26" s="391"/>
      <c r="AR26" s="391"/>
      <c r="AS26" s="391"/>
      <c r="AT26" s="391"/>
      <c r="AU26" s="391"/>
      <c r="AV26" s="391"/>
      <c r="AW26" s="391"/>
      <c r="AX26" s="391"/>
      <c r="AY26" s="391"/>
      <c r="AZ26" s="391"/>
      <c r="BA26" s="391"/>
      <c r="BB26" s="9">
        <v>312046</v>
      </c>
      <c r="BC26" s="9">
        <v>325561</v>
      </c>
      <c r="BD26" s="9">
        <v>3000</v>
      </c>
      <c r="BE26" s="9">
        <f t="shared" si="1"/>
        <v>13515</v>
      </c>
      <c r="BF26" s="3">
        <v>57.4</v>
      </c>
      <c r="BG26" s="3">
        <v>1.1000000000000001</v>
      </c>
      <c r="BH26" s="3">
        <f t="shared" si="2"/>
        <v>63.14</v>
      </c>
      <c r="BI26" s="3">
        <v>70.61</v>
      </c>
      <c r="BJ26" s="3">
        <v>1.1000000000000001</v>
      </c>
      <c r="BK26" s="3">
        <f t="shared" si="3"/>
        <v>77.671000000000006</v>
      </c>
      <c r="BL26" s="3">
        <v>59</v>
      </c>
      <c r="BM26" s="3">
        <v>223.46</v>
      </c>
      <c r="BN26" s="3">
        <f>+Shepparton!F16-Shepparton!C16</f>
        <v>326220</v>
      </c>
      <c r="BO26" s="3">
        <f t="shared" si="0"/>
        <v>1460</v>
      </c>
      <c r="BQ26" s="8"/>
      <c r="BS26" s="6"/>
      <c r="BT26" s="6"/>
    </row>
    <row r="27" spans="1:72">
      <c r="A27" s="3" t="s">
        <v>26</v>
      </c>
      <c r="B27" s="391">
        <v>170.72</v>
      </c>
      <c r="C27" s="391">
        <v>38.42</v>
      </c>
      <c r="D27" s="391">
        <v>4.5199999999999996</v>
      </c>
      <c r="E27" s="391">
        <v>21</v>
      </c>
      <c r="F27" s="391"/>
      <c r="G27" s="391"/>
      <c r="H27" s="391">
        <v>2</v>
      </c>
      <c r="I27" s="391"/>
      <c r="J27" s="391">
        <v>6.18</v>
      </c>
      <c r="K27" s="391">
        <v>49.79</v>
      </c>
      <c r="L27" s="391">
        <v>19.184999999999999</v>
      </c>
      <c r="M27" s="391">
        <v>15.49</v>
      </c>
      <c r="N27" s="391">
        <v>50.35</v>
      </c>
      <c r="O27" s="391">
        <v>73.150000000000006</v>
      </c>
      <c r="P27" s="391">
        <v>5.08</v>
      </c>
      <c r="Q27" s="391">
        <v>4.18</v>
      </c>
      <c r="R27" s="391">
        <v>4.18</v>
      </c>
      <c r="S27" s="391">
        <v>3</v>
      </c>
      <c r="T27" s="391">
        <v>0.9</v>
      </c>
      <c r="U27" s="391">
        <v>1</v>
      </c>
      <c r="V27" s="391">
        <v>0.9</v>
      </c>
      <c r="W27" s="391">
        <v>1</v>
      </c>
      <c r="X27" s="391">
        <v>0</v>
      </c>
      <c r="Y27" s="391">
        <v>0</v>
      </c>
      <c r="Z27" s="391">
        <v>1.2</v>
      </c>
      <c r="AA27" s="391"/>
      <c r="AB27" s="391"/>
      <c r="AC27" s="391"/>
      <c r="AD27" s="391"/>
      <c r="AE27" s="391"/>
      <c r="AF27" s="391"/>
      <c r="AG27" s="391"/>
      <c r="AH27" s="391"/>
      <c r="AI27" s="391"/>
      <c r="AJ27" s="391"/>
      <c r="AK27" s="391"/>
      <c r="AL27" s="391"/>
      <c r="AM27" s="391"/>
      <c r="AN27" s="391"/>
      <c r="AO27" s="391"/>
      <c r="AP27" s="391"/>
      <c r="AQ27" s="391"/>
      <c r="AR27" s="391"/>
      <c r="AS27" s="391"/>
      <c r="AT27" s="391"/>
      <c r="AU27" s="391"/>
      <c r="AV27" s="391"/>
      <c r="AW27" s="391"/>
      <c r="AX27" s="391"/>
      <c r="AY27" s="391"/>
      <c r="AZ27" s="391"/>
      <c r="BA27" s="391"/>
      <c r="BB27" s="9">
        <v>320081</v>
      </c>
      <c r="BC27" s="9">
        <v>333403</v>
      </c>
      <c r="BD27" s="9">
        <v>4000</v>
      </c>
      <c r="BE27" s="9">
        <f t="shared" si="1"/>
        <v>13322</v>
      </c>
      <c r="BF27" s="3">
        <v>61.33</v>
      </c>
      <c r="BG27" s="3">
        <v>1.1000000000000001</v>
      </c>
      <c r="BH27" s="3">
        <f t="shared" si="2"/>
        <v>67.463000000000008</v>
      </c>
      <c r="BI27" s="3">
        <v>69.8</v>
      </c>
      <c r="BJ27" s="3">
        <v>1.1000000000000001</v>
      </c>
      <c r="BK27" s="3">
        <f t="shared" si="3"/>
        <v>76.78</v>
      </c>
      <c r="BL27" s="3">
        <v>64</v>
      </c>
      <c r="BM27" s="3">
        <v>234.65</v>
      </c>
      <c r="BN27" s="3">
        <f>+Shepparton!F17-Shepparton!C17</f>
        <v>335650</v>
      </c>
      <c r="BO27" s="3">
        <f t="shared" si="0"/>
        <v>1430</v>
      </c>
      <c r="BQ27" s="8"/>
      <c r="BS27" s="6"/>
      <c r="BT27" s="6"/>
    </row>
    <row r="28" spans="1:72">
      <c r="A28" s="3" t="s">
        <v>27</v>
      </c>
      <c r="B28" s="391">
        <v>172.94</v>
      </c>
      <c r="C28" s="391">
        <v>37.49</v>
      </c>
      <c r="D28" s="391">
        <v>4.5199999999999996</v>
      </c>
      <c r="E28" s="391">
        <v>21</v>
      </c>
      <c r="F28" s="391"/>
      <c r="G28" s="391"/>
      <c r="H28" s="391">
        <v>3</v>
      </c>
      <c r="I28" s="391"/>
      <c r="J28" s="391">
        <v>6.18</v>
      </c>
      <c r="K28" s="391">
        <v>49.79</v>
      </c>
      <c r="L28" s="391">
        <v>19.184999999999999</v>
      </c>
      <c r="M28" s="391">
        <v>15.49</v>
      </c>
      <c r="N28" s="391">
        <v>50.35</v>
      </c>
      <c r="O28" s="391">
        <v>73.150000000000006</v>
      </c>
      <c r="P28" s="391">
        <v>5.08</v>
      </c>
      <c r="Q28" s="391">
        <v>3.3</v>
      </c>
      <c r="R28" s="391">
        <v>1.9</v>
      </c>
      <c r="S28" s="391">
        <v>3.6</v>
      </c>
      <c r="T28" s="391">
        <v>0.9</v>
      </c>
      <c r="U28" s="391">
        <v>1</v>
      </c>
      <c r="V28" s="391">
        <v>0.9</v>
      </c>
      <c r="W28" s="391">
        <v>1</v>
      </c>
      <c r="X28" s="391">
        <v>0</v>
      </c>
      <c r="Y28" s="391">
        <v>0</v>
      </c>
      <c r="Z28" s="391">
        <v>1.2</v>
      </c>
      <c r="AA28" s="391"/>
      <c r="AB28" s="391"/>
      <c r="AC28" s="391"/>
      <c r="AD28" s="391"/>
      <c r="AE28" s="391"/>
      <c r="AF28" s="391"/>
      <c r="AG28" s="391"/>
      <c r="AH28" s="391"/>
      <c r="AI28" s="391"/>
      <c r="AJ28" s="391"/>
      <c r="AK28" s="391"/>
      <c r="AL28" s="391"/>
      <c r="AM28" s="391"/>
      <c r="AN28" s="391"/>
      <c r="AO28" s="391"/>
      <c r="AP28" s="391"/>
      <c r="AQ28" s="391"/>
      <c r="AR28" s="391"/>
      <c r="AS28" s="391"/>
      <c r="AT28" s="391"/>
      <c r="AU28" s="391"/>
      <c r="AV28" s="391"/>
      <c r="AW28" s="391"/>
      <c r="AX28" s="391"/>
      <c r="AY28" s="391"/>
      <c r="AZ28" s="391"/>
      <c r="BA28" s="391"/>
      <c r="BB28" s="9">
        <v>330229</v>
      </c>
      <c r="BC28" s="9">
        <v>343545</v>
      </c>
      <c r="BD28" s="9">
        <v>4000</v>
      </c>
      <c r="BE28" s="9">
        <f t="shared" si="1"/>
        <v>13316</v>
      </c>
      <c r="BF28" s="3">
        <v>62.1</v>
      </c>
      <c r="BG28" s="3">
        <v>1.1000000000000001</v>
      </c>
      <c r="BH28" s="3">
        <f t="shared" si="2"/>
        <v>68.31</v>
      </c>
      <c r="BI28" s="3">
        <v>70.48</v>
      </c>
      <c r="BJ28" s="3">
        <v>1.1000000000000001</v>
      </c>
      <c r="BK28" s="3">
        <f t="shared" si="3"/>
        <v>77.528000000000006</v>
      </c>
      <c r="BL28" s="3">
        <v>64</v>
      </c>
      <c r="BM28" s="3">
        <v>235.95</v>
      </c>
      <c r="BN28" s="3">
        <f>+Shepparton!F18-Shepparton!C18</f>
        <v>345925</v>
      </c>
      <c r="BO28" s="3">
        <f t="shared" si="0"/>
        <v>1466</v>
      </c>
      <c r="BQ28" s="8"/>
      <c r="BS28" s="6"/>
      <c r="BT28" s="6"/>
    </row>
    <row r="29" spans="1:72">
      <c r="A29" s="3" t="s">
        <v>28</v>
      </c>
      <c r="B29" s="391">
        <v>175.05</v>
      </c>
      <c r="C29" s="391">
        <v>38.43</v>
      </c>
      <c r="D29" s="391">
        <v>7.67</v>
      </c>
      <c r="E29" s="391">
        <v>20.53</v>
      </c>
      <c r="F29" s="391"/>
      <c r="G29" s="391"/>
      <c r="H29" s="391">
        <v>2</v>
      </c>
      <c r="I29" s="391"/>
      <c r="J29" s="391">
        <v>4.4400000000000004</v>
      </c>
      <c r="K29" s="391">
        <v>48.14</v>
      </c>
      <c r="L29" s="391">
        <v>16.61</v>
      </c>
      <c r="M29" s="391">
        <v>14</v>
      </c>
      <c r="N29" s="391">
        <v>53.05</v>
      </c>
      <c r="O29" s="391">
        <v>69.150000000000006</v>
      </c>
      <c r="P29" s="391">
        <v>3.36</v>
      </c>
      <c r="Q29" s="391">
        <v>2.46</v>
      </c>
      <c r="R29" s="391">
        <v>2.46</v>
      </c>
      <c r="S29" s="391">
        <v>3</v>
      </c>
      <c r="T29" s="391">
        <v>1.2</v>
      </c>
      <c r="U29" s="391">
        <v>1</v>
      </c>
      <c r="V29" s="391">
        <v>0.9</v>
      </c>
      <c r="W29" s="391">
        <v>1</v>
      </c>
      <c r="X29" s="391">
        <v>0</v>
      </c>
      <c r="Y29" s="391">
        <v>0</v>
      </c>
      <c r="Z29" s="392">
        <v>0</v>
      </c>
      <c r="AA29" s="391"/>
      <c r="AB29" s="391"/>
      <c r="AC29" s="391"/>
      <c r="AD29" s="391"/>
      <c r="AE29" s="391"/>
      <c r="AF29" s="391"/>
      <c r="AG29" s="391"/>
      <c r="AH29" s="391"/>
      <c r="AI29" s="391"/>
      <c r="AJ29" s="391"/>
      <c r="AK29" s="391"/>
      <c r="AL29" s="391"/>
      <c r="AM29" s="391"/>
      <c r="AN29" s="391"/>
      <c r="AO29" s="391"/>
      <c r="AP29" s="391"/>
      <c r="AQ29" s="391"/>
      <c r="AR29" s="391"/>
      <c r="AS29" s="391"/>
      <c r="AT29" s="391"/>
      <c r="AU29" s="391"/>
      <c r="AV29" s="391"/>
      <c r="AW29" s="391"/>
      <c r="AX29" s="391"/>
      <c r="AY29" s="391"/>
      <c r="AZ29" s="391"/>
      <c r="BA29" s="391"/>
      <c r="BB29" s="9">
        <v>326973</v>
      </c>
      <c r="BC29" s="9">
        <v>340209</v>
      </c>
      <c r="BD29" s="9">
        <v>4000</v>
      </c>
      <c r="BE29" s="9">
        <f t="shared" si="1"/>
        <v>13236</v>
      </c>
      <c r="BF29" s="3">
        <v>62.2</v>
      </c>
      <c r="BG29" s="3">
        <v>1.1000000000000001</v>
      </c>
      <c r="BH29" s="3">
        <f t="shared" si="2"/>
        <v>68.42</v>
      </c>
      <c r="BI29" s="3">
        <v>74.19</v>
      </c>
      <c r="BJ29" s="3">
        <v>1.1000000000000001</v>
      </c>
      <c r="BK29" s="3">
        <f t="shared" si="3"/>
        <v>81.609000000000009</v>
      </c>
      <c r="BL29" s="3">
        <v>62</v>
      </c>
      <c r="BM29" s="3">
        <v>241.67</v>
      </c>
      <c r="BN29" s="3">
        <f>+Shepparton!F19-Shepparton!C19</f>
        <v>342930</v>
      </c>
      <c r="BO29" s="3">
        <f t="shared" si="0"/>
        <v>1419</v>
      </c>
      <c r="BQ29" s="8"/>
      <c r="BS29" s="6"/>
      <c r="BT29" s="6"/>
    </row>
    <row r="30" spans="1:72">
      <c r="A30" s="3" t="s">
        <v>29</v>
      </c>
      <c r="B30" s="391">
        <v>195.53</v>
      </c>
      <c r="C30" s="391">
        <v>38.380000000000003</v>
      </c>
      <c r="D30" s="391">
        <v>4.97</v>
      </c>
      <c r="E30" s="391">
        <v>15.996</v>
      </c>
      <c r="F30" s="391"/>
      <c r="G30" s="391"/>
      <c r="H30" s="391">
        <v>2</v>
      </c>
      <c r="I30" s="391"/>
      <c r="J30" s="391">
        <v>6.18</v>
      </c>
      <c r="K30" s="391">
        <v>41.137999999999998</v>
      </c>
      <c r="L30" s="391">
        <v>10.814</v>
      </c>
      <c r="M30" s="391">
        <v>16.47</v>
      </c>
      <c r="N30" s="391">
        <v>58.28</v>
      </c>
      <c r="O30" s="391">
        <v>81.849999999999994</v>
      </c>
      <c r="P30" s="391">
        <v>3.22</v>
      </c>
      <c r="Q30" s="391">
        <v>2.3119999999999998</v>
      </c>
      <c r="R30" s="391">
        <v>2.3119999999999998</v>
      </c>
      <c r="S30" s="391">
        <v>2.7</v>
      </c>
      <c r="T30" s="391">
        <v>0.9</v>
      </c>
      <c r="U30" s="391">
        <v>1</v>
      </c>
      <c r="V30" s="391">
        <v>0.9</v>
      </c>
      <c r="W30" s="391">
        <v>1</v>
      </c>
      <c r="X30" s="391">
        <v>0</v>
      </c>
      <c r="Y30" s="391">
        <v>0</v>
      </c>
      <c r="Z30" s="391">
        <v>1.2</v>
      </c>
      <c r="AA30" s="391"/>
      <c r="AB30" s="391"/>
      <c r="AC30" s="391"/>
      <c r="AD30" s="391"/>
      <c r="AE30" s="391"/>
      <c r="AF30" s="391"/>
      <c r="AG30" s="391"/>
      <c r="AH30" s="391"/>
      <c r="AI30" s="391"/>
      <c r="AJ30" s="391"/>
      <c r="AK30" s="391"/>
      <c r="AL30" s="391"/>
      <c r="AM30" s="391"/>
      <c r="AN30" s="391"/>
      <c r="AO30" s="391"/>
      <c r="AP30" s="391"/>
      <c r="AQ30" s="391"/>
      <c r="AR30" s="391"/>
      <c r="AS30" s="391"/>
      <c r="AT30" s="391"/>
      <c r="AU30" s="391"/>
      <c r="AV30" s="391"/>
      <c r="AW30" s="391"/>
      <c r="AX30" s="391"/>
      <c r="AY30" s="391"/>
      <c r="AZ30" s="391"/>
      <c r="BA30" s="391"/>
      <c r="BB30" s="9">
        <v>338903</v>
      </c>
      <c r="BC30" s="9">
        <v>352214</v>
      </c>
      <c r="BD30" s="9">
        <v>4000</v>
      </c>
      <c r="BE30" s="9">
        <f t="shared" si="1"/>
        <v>13311</v>
      </c>
      <c r="BF30" s="3">
        <v>70.540000000000006</v>
      </c>
      <c r="BG30" s="3">
        <v>1.1000000000000001</v>
      </c>
      <c r="BH30" s="3">
        <f t="shared" si="2"/>
        <v>77.594000000000008</v>
      </c>
      <c r="BI30" s="3">
        <v>92.05</v>
      </c>
      <c r="BJ30" s="3">
        <v>1.1000000000000001</v>
      </c>
      <c r="BK30" s="3">
        <f t="shared" si="3"/>
        <v>101.25500000000001</v>
      </c>
      <c r="BL30" s="3">
        <v>65</v>
      </c>
      <c r="BM30" s="3">
        <v>254.89</v>
      </c>
      <c r="BN30" s="3">
        <f>+Shepparton!F20-Shepparton!C20</f>
        <v>356985</v>
      </c>
      <c r="BO30" s="3">
        <f t="shared" si="0"/>
        <v>1401</v>
      </c>
      <c r="BQ30" s="8"/>
      <c r="BS30" s="6"/>
      <c r="BT30" s="6"/>
    </row>
    <row r="31" spans="1:72">
      <c r="A31" s="3" t="s">
        <v>30</v>
      </c>
      <c r="B31" s="391">
        <v>193.91</v>
      </c>
      <c r="C31" s="391">
        <v>38.67</v>
      </c>
      <c r="D31" s="391">
        <v>7.19</v>
      </c>
      <c r="E31" s="391">
        <v>19.61</v>
      </c>
      <c r="F31" s="391"/>
      <c r="G31" s="391"/>
      <c r="H31" s="391">
        <v>2</v>
      </c>
      <c r="I31" s="391"/>
      <c r="J31" s="391">
        <v>5.26</v>
      </c>
      <c r="K31" s="391">
        <v>42.66</v>
      </c>
      <c r="L31" s="391">
        <v>12.891</v>
      </c>
      <c r="M31" s="391">
        <v>17.024999999999999</v>
      </c>
      <c r="N31" s="391">
        <v>58.25</v>
      </c>
      <c r="O31" s="391">
        <v>79.650000000000006</v>
      </c>
      <c r="P31" s="391">
        <v>3.27</v>
      </c>
      <c r="Q31" s="391">
        <v>2.42</v>
      </c>
      <c r="R31" s="391">
        <v>2.42</v>
      </c>
      <c r="S31" s="391">
        <v>2.7</v>
      </c>
      <c r="T31" s="391">
        <v>1.8</v>
      </c>
      <c r="U31" s="391">
        <v>2</v>
      </c>
      <c r="V31" s="391">
        <v>0.9</v>
      </c>
      <c r="W31" s="391">
        <v>1</v>
      </c>
      <c r="X31" s="391">
        <v>0</v>
      </c>
      <c r="Y31" s="391">
        <v>0</v>
      </c>
      <c r="Z31" s="391">
        <v>1.2</v>
      </c>
      <c r="AA31" s="391"/>
      <c r="AB31" s="391"/>
      <c r="AC31" s="391"/>
      <c r="AD31" s="391"/>
      <c r="AE31" s="391"/>
      <c r="AF31" s="391"/>
      <c r="AG31" s="391"/>
      <c r="AH31" s="391"/>
      <c r="AI31" s="391"/>
      <c r="AJ31" s="391"/>
      <c r="AK31" s="391"/>
      <c r="AL31" s="391"/>
      <c r="AM31" s="391"/>
      <c r="AN31" s="391"/>
      <c r="AO31" s="391"/>
      <c r="AP31" s="391"/>
      <c r="AQ31" s="391"/>
      <c r="AR31" s="391"/>
      <c r="AS31" s="391"/>
      <c r="AT31" s="391"/>
      <c r="AU31" s="391"/>
      <c r="AV31" s="391"/>
      <c r="AW31" s="391"/>
      <c r="AX31" s="391"/>
      <c r="AY31" s="391"/>
      <c r="AZ31" s="391"/>
      <c r="BA31" s="391"/>
      <c r="BB31" s="9">
        <v>343732</v>
      </c>
      <c r="BC31" s="9">
        <v>356760</v>
      </c>
      <c r="BD31" s="9">
        <v>4000</v>
      </c>
      <c r="BE31" s="9">
        <f t="shared" si="1"/>
        <v>13028</v>
      </c>
      <c r="BF31" s="3">
        <v>78.48</v>
      </c>
      <c r="BG31" s="3">
        <v>1.1000000000000001</v>
      </c>
      <c r="BH31" s="3">
        <f t="shared" si="2"/>
        <v>86.328000000000017</v>
      </c>
      <c r="BI31" s="3">
        <v>66.52</v>
      </c>
      <c r="BJ31" s="3">
        <v>1.1000000000000001</v>
      </c>
      <c r="BK31" s="3">
        <f t="shared" si="3"/>
        <v>73.171999999999997</v>
      </c>
      <c r="BL31" s="3">
        <v>65</v>
      </c>
      <c r="BM31" s="3">
        <v>258.33</v>
      </c>
      <c r="BN31" s="3">
        <f>+Shepparton!F21-Shepparton!C21</f>
        <v>361030</v>
      </c>
      <c r="BO31" s="3">
        <f t="shared" si="0"/>
        <v>1398</v>
      </c>
      <c r="BQ31" s="8"/>
      <c r="BS31" s="6"/>
      <c r="BT31" s="6"/>
    </row>
    <row r="32" spans="1:72">
      <c r="A32" s="3" t="s">
        <v>1400</v>
      </c>
      <c r="B32" s="391"/>
      <c r="C32" s="391"/>
      <c r="D32" s="391"/>
      <c r="E32" s="391"/>
      <c r="F32" s="391"/>
      <c r="G32" s="391"/>
      <c r="H32" s="391"/>
      <c r="I32" s="391"/>
      <c r="J32" s="391"/>
      <c r="K32" s="391"/>
      <c r="L32" s="391"/>
      <c r="M32" s="391"/>
      <c r="N32" s="391"/>
      <c r="O32" s="391"/>
      <c r="P32" s="391"/>
      <c r="Q32" s="391"/>
      <c r="R32" s="391"/>
      <c r="S32" s="391"/>
      <c r="T32" s="391"/>
      <c r="U32" s="391"/>
      <c r="V32" s="391"/>
      <c r="W32" s="391"/>
      <c r="X32" s="391"/>
      <c r="Y32" s="391"/>
      <c r="Z32" s="391"/>
      <c r="AA32" s="391"/>
      <c r="AB32" s="391"/>
      <c r="AC32" s="391"/>
      <c r="AD32" s="391"/>
      <c r="AE32" s="391"/>
      <c r="AF32" s="391"/>
      <c r="AG32" s="391"/>
      <c r="AH32" s="391"/>
      <c r="AI32" s="391"/>
      <c r="AJ32" s="391"/>
      <c r="AK32" s="391"/>
      <c r="AL32" s="391"/>
      <c r="AM32" s="391"/>
      <c r="AN32" s="391"/>
      <c r="AO32" s="391"/>
      <c r="AP32" s="391"/>
      <c r="AQ32" s="391"/>
      <c r="AR32" s="391"/>
      <c r="AS32" s="391"/>
      <c r="AT32" s="391"/>
      <c r="AU32" s="391"/>
      <c r="AV32" s="391"/>
      <c r="AW32" s="391"/>
      <c r="AX32" s="391"/>
      <c r="AY32" s="391"/>
      <c r="AZ32" s="391"/>
      <c r="BA32" s="391"/>
      <c r="BB32" s="9">
        <v>351250</v>
      </c>
      <c r="BC32" s="9">
        <v>364509</v>
      </c>
      <c r="BD32" s="9">
        <v>4000</v>
      </c>
      <c r="BE32" s="9">
        <f t="shared" si="1"/>
        <v>13259</v>
      </c>
      <c r="BF32" s="3">
        <v>82.36</v>
      </c>
      <c r="BG32" s="3">
        <v>1.1000000000000001</v>
      </c>
      <c r="BH32" s="3">
        <f t="shared" ref="BH32" si="6">+BG32*BF32</f>
        <v>90.596000000000004</v>
      </c>
      <c r="BI32" s="3">
        <v>88.36</v>
      </c>
      <c r="BJ32" s="3">
        <v>1.1000000000000001</v>
      </c>
      <c r="BK32" s="3">
        <f t="shared" ref="BK32" si="7">+BJ32*BI32</f>
        <v>97.196000000000012</v>
      </c>
      <c r="BL32" s="3">
        <v>65</v>
      </c>
      <c r="BM32" s="3">
        <v>258.33</v>
      </c>
      <c r="BN32" s="3">
        <f>+Shepparton!F22-Shepparton!C22</f>
        <v>370420</v>
      </c>
      <c r="BO32" s="3">
        <f t="shared" ref="BO32" si="8">+ROUND(BN32/BM32,)</f>
        <v>1434</v>
      </c>
      <c r="BQ32" s="8"/>
      <c r="BS32" s="6"/>
      <c r="BT32" s="6"/>
    </row>
    <row r="33" spans="1:72">
      <c r="A33" s="3" t="s">
        <v>1019</v>
      </c>
      <c r="B33" s="391">
        <v>156.97</v>
      </c>
      <c r="C33" s="391">
        <v>40.42</v>
      </c>
      <c r="D33" s="391">
        <v>2.83</v>
      </c>
      <c r="E33" s="391">
        <v>21.22</v>
      </c>
      <c r="F33" s="391"/>
      <c r="G33" s="391"/>
      <c r="H33" s="391">
        <v>1</v>
      </c>
      <c r="I33" s="391"/>
      <c r="J33" s="391">
        <v>6.5</v>
      </c>
      <c r="K33" s="391">
        <v>50.1</v>
      </c>
      <c r="L33" s="391">
        <v>11.5</v>
      </c>
      <c r="M33" s="391">
        <v>2</v>
      </c>
      <c r="N33" s="391">
        <v>47</v>
      </c>
      <c r="O33" s="391">
        <v>82.6</v>
      </c>
      <c r="P33" s="391">
        <v>6.9</v>
      </c>
      <c r="Q33" s="391">
        <v>4.4000000000000004</v>
      </c>
      <c r="R33" s="391">
        <v>2.2000000000000002</v>
      </c>
      <c r="S33" s="391">
        <v>2.5</v>
      </c>
      <c r="T33" s="391">
        <v>1.2</v>
      </c>
      <c r="U33" s="391">
        <v>1</v>
      </c>
      <c r="V33" s="391">
        <v>0.9</v>
      </c>
      <c r="W33" s="391">
        <v>1</v>
      </c>
      <c r="X33" s="391">
        <v>0</v>
      </c>
      <c r="Y33" s="391">
        <v>0</v>
      </c>
      <c r="Z33" s="391">
        <v>1.2</v>
      </c>
      <c r="AA33" s="391"/>
      <c r="AB33" s="391"/>
      <c r="AC33" s="391"/>
      <c r="AD33" s="391"/>
      <c r="AE33" s="391"/>
      <c r="AF33" s="391"/>
      <c r="AG33" s="391"/>
      <c r="AH33" s="391"/>
      <c r="AI33" s="391"/>
      <c r="AJ33" s="391"/>
      <c r="AK33" s="391"/>
      <c r="AL33" s="391"/>
      <c r="AM33" s="391"/>
      <c r="AN33" s="391"/>
      <c r="AO33" s="391"/>
      <c r="AP33" s="391"/>
      <c r="AQ33" s="391"/>
      <c r="AR33" s="391"/>
      <c r="AS33" s="391"/>
      <c r="AT33" s="391"/>
      <c r="AU33" s="391"/>
      <c r="AV33" s="391"/>
      <c r="AW33" s="391"/>
      <c r="AX33" s="391"/>
      <c r="AY33" s="391"/>
      <c r="AZ33" s="391"/>
      <c r="BA33" s="391"/>
      <c r="BB33" s="9">
        <v>312597</v>
      </c>
      <c r="BC33" s="9">
        <v>325831</v>
      </c>
      <c r="BD33" s="9">
        <v>3000</v>
      </c>
      <c r="BE33" s="9">
        <f t="shared" si="1"/>
        <v>13234</v>
      </c>
      <c r="BF33" s="3">
        <v>70.31</v>
      </c>
      <c r="BG33" s="3">
        <v>1.1000000000000001</v>
      </c>
      <c r="BH33" s="3">
        <f t="shared" si="2"/>
        <v>77.341000000000008</v>
      </c>
      <c r="BI33" s="3">
        <v>45.65</v>
      </c>
      <c r="BJ33" s="3">
        <v>1.1000000000000001</v>
      </c>
      <c r="BK33" s="3">
        <f t="shared" si="3"/>
        <v>50.215000000000003</v>
      </c>
      <c r="BL33" s="3">
        <v>53</v>
      </c>
      <c r="BM33" s="3">
        <v>221.43</v>
      </c>
      <c r="BN33" s="3">
        <f>+Shepparton!F23-Shepparton!C23</f>
        <v>326585</v>
      </c>
      <c r="BO33" s="3">
        <f t="shared" si="0"/>
        <v>1475</v>
      </c>
      <c r="BQ33" s="8"/>
      <c r="BS33" s="6"/>
      <c r="BT33" s="6"/>
    </row>
    <row r="34" spans="1:72">
      <c r="A34" s="3" t="s">
        <v>31</v>
      </c>
      <c r="B34" s="391">
        <v>209.74</v>
      </c>
      <c r="C34" s="391">
        <v>37.6</v>
      </c>
      <c r="D34" s="391">
        <v>2.86</v>
      </c>
      <c r="E34" s="391">
        <v>23.77</v>
      </c>
      <c r="F34" s="391"/>
      <c r="G34" s="391"/>
      <c r="H34" s="391">
        <v>3</v>
      </c>
      <c r="I34" s="391"/>
      <c r="J34" s="391">
        <v>10.3</v>
      </c>
      <c r="K34" s="391">
        <v>49</v>
      </c>
      <c r="L34" s="391">
        <v>17.899999999999999</v>
      </c>
      <c r="M34" s="391">
        <v>16.8</v>
      </c>
      <c r="N34" s="391">
        <v>57.2</v>
      </c>
      <c r="O34" s="391">
        <v>95</v>
      </c>
      <c r="P34" s="391">
        <v>11.3</v>
      </c>
      <c r="Q34" s="391">
        <v>4.4000000000000004</v>
      </c>
      <c r="R34" s="391">
        <v>2.5</v>
      </c>
      <c r="S34" s="391">
        <v>0</v>
      </c>
      <c r="T34" s="391">
        <v>1.2</v>
      </c>
      <c r="U34" s="391">
        <v>1</v>
      </c>
      <c r="V34" s="391">
        <v>0.9</v>
      </c>
      <c r="W34" s="391">
        <v>1</v>
      </c>
      <c r="X34" s="391">
        <v>0</v>
      </c>
      <c r="Y34" s="391">
        <v>0</v>
      </c>
      <c r="Z34" s="391">
        <v>1.2</v>
      </c>
      <c r="AA34" s="391"/>
      <c r="AB34" s="391"/>
      <c r="AC34" s="391"/>
      <c r="AD34" s="391"/>
      <c r="AE34" s="391"/>
      <c r="AF34" s="391"/>
      <c r="AG34" s="391"/>
      <c r="AH34" s="391"/>
      <c r="AI34" s="391"/>
      <c r="AJ34" s="391"/>
      <c r="AK34" s="391"/>
      <c r="AL34" s="391"/>
      <c r="AM34" s="391"/>
      <c r="AN34" s="391"/>
      <c r="AO34" s="391"/>
      <c r="AP34" s="391"/>
      <c r="AQ34" s="391"/>
      <c r="AR34" s="391"/>
      <c r="AS34" s="391"/>
      <c r="AT34" s="391"/>
      <c r="AU34" s="391"/>
      <c r="AV34" s="391"/>
      <c r="AW34" s="391"/>
      <c r="AX34" s="391"/>
      <c r="AY34" s="391"/>
      <c r="AZ34" s="391"/>
      <c r="BA34" s="391"/>
      <c r="BB34" s="9">
        <v>360743</v>
      </c>
      <c r="BC34" s="9">
        <v>373971</v>
      </c>
      <c r="BD34" s="9">
        <v>4000</v>
      </c>
      <c r="BE34" s="9">
        <f t="shared" si="1"/>
        <v>13228</v>
      </c>
      <c r="BF34" s="3">
        <v>85.08</v>
      </c>
      <c r="BG34" s="3">
        <v>1.1000000000000001</v>
      </c>
      <c r="BH34" s="3">
        <f t="shared" si="2"/>
        <v>93.588000000000008</v>
      </c>
      <c r="BI34" s="3">
        <v>80.349999999999994</v>
      </c>
      <c r="BJ34" s="3">
        <v>1.1000000000000001</v>
      </c>
      <c r="BK34" s="3">
        <f t="shared" si="3"/>
        <v>88.385000000000005</v>
      </c>
      <c r="BL34" s="3">
        <v>67</v>
      </c>
      <c r="BM34" s="3">
        <v>273.95999999999998</v>
      </c>
      <c r="BN34" s="3">
        <f>+Shepparton!F24-Shepparton!C24</f>
        <v>379695</v>
      </c>
      <c r="BO34" s="3">
        <f t="shared" si="0"/>
        <v>1386</v>
      </c>
      <c r="BQ34" s="8"/>
      <c r="BS34" s="6"/>
      <c r="BT34" s="6"/>
    </row>
    <row r="35" spans="1:72">
      <c r="A35" s="3" t="s">
        <v>1339</v>
      </c>
      <c r="B35" s="391"/>
      <c r="C35" s="391"/>
      <c r="D35" s="391"/>
      <c r="E35" s="391"/>
      <c r="F35" s="391"/>
      <c r="G35" s="391"/>
      <c r="H35" s="391"/>
      <c r="I35" s="391"/>
      <c r="J35" s="391"/>
      <c r="K35" s="391"/>
      <c r="L35" s="391"/>
      <c r="M35" s="391"/>
      <c r="N35" s="391"/>
      <c r="O35" s="391"/>
      <c r="P35" s="391"/>
      <c r="Q35" s="391"/>
      <c r="R35" s="391"/>
      <c r="S35" s="391"/>
      <c r="T35" s="391"/>
      <c r="U35" s="391"/>
      <c r="V35" s="391"/>
      <c r="W35" s="391"/>
      <c r="X35" s="391"/>
      <c r="Y35" s="391"/>
      <c r="Z35" s="391"/>
      <c r="AA35" s="391"/>
      <c r="AB35" s="391"/>
      <c r="AC35" s="391"/>
      <c r="AD35" s="391"/>
      <c r="AE35" s="391"/>
      <c r="AF35" s="391"/>
      <c r="AG35" s="391"/>
      <c r="AH35" s="391"/>
      <c r="AI35" s="391"/>
      <c r="AJ35" s="391"/>
      <c r="AK35" s="391"/>
      <c r="AL35" s="391"/>
      <c r="AM35" s="391"/>
      <c r="AN35" s="391"/>
      <c r="AO35" s="391"/>
      <c r="AP35" s="391"/>
      <c r="AQ35" s="391"/>
      <c r="AR35" s="391"/>
      <c r="AS35" s="391"/>
      <c r="AT35" s="391"/>
      <c r="AU35" s="391"/>
      <c r="AV35" s="391"/>
      <c r="AW35" s="391"/>
      <c r="AX35" s="391"/>
      <c r="AY35" s="391"/>
      <c r="AZ35" s="391"/>
      <c r="BA35" s="391"/>
      <c r="BB35" s="9">
        <v>363040</v>
      </c>
      <c r="BC35" s="9">
        <v>376292</v>
      </c>
      <c r="BD35" s="9">
        <v>4000</v>
      </c>
      <c r="BE35" s="9">
        <f t="shared" si="1"/>
        <v>13252</v>
      </c>
      <c r="BF35" s="3">
        <v>95</v>
      </c>
      <c r="BG35" s="3">
        <v>1.1000000000000001</v>
      </c>
      <c r="BH35" s="3">
        <f>+BG35*BF35</f>
        <v>104.50000000000001</v>
      </c>
      <c r="BI35" s="3">
        <v>86</v>
      </c>
      <c r="BJ35" s="3">
        <v>1.1000000000000001</v>
      </c>
      <c r="BK35" s="3">
        <f>+BJ35*BI35</f>
        <v>94.600000000000009</v>
      </c>
      <c r="BL35" s="3">
        <v>70</v>
      </c>
      <c r="BM35" s="3">
        <v>275.39</v>
      </c>
      <c r="BN35" s="3">
        <f>+Shepparton!F25-Shepparton!C25</f>
        <v>383485</v>
      </c>
      <c r="BO35" s="3">
        <f t="shared" si="0"/>
        <v>1393</v>
      </c>
      <c r="BQ35" s="8"/>
      <c r="BS35" s="6"/>
      <c r="BT35" s="6"/>
    </row>
    <row r="36" spans="1:72">
      <c r="A36" s="3" t="s">
        <v>1020</v>
      </c>
      <c r="B36" s="391">
        <v>240.4</v>
      </c>
      <c r="C36" s="391">
        <v>38.21</v>
      </c>
      <c r="D36" s="391">
        <v>2.4300000000000002</v>
      </c>
      <c r="E36" s="391">
        <v>30.1</v>
      </c>
      <c r="F36" s="391"/>
      <c r="G36" s="391"/>
      <c r="H36" s="391">
        <v>1</v>
      </c>
      <c r="I36" s="391"/>
      <c r="J36" s="391">
        <v>5.6</v>
      </c>
      <c r="K36" s="391">
        <v>59.1</v>
      </c>
      <c r="L36" s="391">
        <v>24.1</v>
      </c>
      <c r="M36" s="391">
        <v>17.8</v>
      </c>
      <c r="N36" s="391">
        <v>60.9</v>
      </c>
      <c r="O36" s="391">
        <v>110.8</v>
      </c>
      <c r="P36" s="391">
        <v>9.6</v>
      </c>
      <c r="Q36" s="391">
        <v>4.5</v>
      </c>
      <c r="R36" s="391">
        <v>2.4</v>
      </c>
      <c r="S36" s="391">
        <v>2.7</v>
      </c>
      <c r="T36" s="391">
        <v>1.8</v>
      </c>
      <c r="U36" s="391">
        <v>2</v>
      </c>
      <c r="V36" s="391">
        <v>0.9</v>
      </c>
      <c r="W36" s="391">
        <v>1</v>
      </c>
      <c r="X36" s="391">
        <v>0.9</v>
      </c>
      <c r="Y36" s="391">
        <v>1</v>
      </c>
      <c r="Z36" s="391">
        <v>1.2</v>
      </c>
      <c r="AA36" s="391"/>
      <c r="AB36" s="391"/>
      <c r="AC36" s="391"/>
      <c r="AD36" s="391"/>
      <c r="AE36" s="391"/>
      <c r="AF36" s="391"/>
      <c r="AG36" s="391"/>
      <c r="AH36" s="391"/>
      <c r="AI36" s="391"/>
      <c r="AJ36" s="391"/>
      <c r="AK36" s="391"/>
      <c r="AL36" s="391"/>
      <c r="AM36" s="391"/>
      <c r="AN36" s="391"/>
      <c r="AO36" s="391"/>
      <c r="AP36" s="391"/>
      <c r="AQ36" s="391"/>
      <c r="AR36" s="391"/>
      <c r="AS36" s="391"/>
      <c r="AT36" s="391"/>
      <c r="AU36" s="391"/>
      <c r="AV36" s="391"/>
      <c r="AW36" s="391"/>
      <c r="AX36" s="391"/>
      <c r="AY36" s="391"/>
      <c r="AZ36" s="391"/>
      <c r="BA36" s="391"/>
      <c r="BB36" s="9">
        <v>395086</v>
      </c>
      <c r="BC36" s="9">
        <v>408310</v>
      </c>
      <c r="BD36" s="9">
        <v>4000</v>
      </c>
      <c r="BE36" s="9">
        <f t="shared" si="1"/>
        <v>13224</v>
      </c>
      <c r="BF36" s="3">
        <v>104.44</v>
      </c>
      <c r="BG36" s="3">
        <v>1.1000000000000001</v>
      </c>
      <c r="BH36" s="3">
        <f t="shared" si="2"/>
        <v>114.884</v>
      </c>
      <c r="BI36" s="3">
        <v>79.41</v>
      </c>
      <c r="BJ36" s="3">
        <v>1.1000000000000001</v>
      </c>
      <c r="BK36" s="3">
        <f t="shared" si="3"/>
        <v>87.350999999999999</v>
      </c>
      <c r="BL36" s="3">
        <v>75</v>
      </c>
      <c r="BM36" s="3">
        <v>311.14999999999998</v>
      </c>
      <c r="BN36" s="3">
        <f>+Shepparton!F26-Shepparton!C26</f>
        <v>416170</v>
      </c>
      <c r="BO36" s="3">
        <f t="shared" si="0"/>
        <v>1338</v>
      </c>
      <c r="BQ36" s="8"/>
      <c r="BS36" s="6"/>
      <c r="BT36" s="6"/>
    </row>
    <row r="37" spans="1:72">
      <c r="A37" s="3" t="s">
        <v>1021</v>
      </c>
      <c r="B37" s="391">
        <v>290</v>
      </c>
      <c r="C37" s="391">
        <v>39.700000000000003</v>
      </c>
      <c r="D37" s="391">
        <v>2.64</v>
      </c>
      <c r="E37" s="391">
        <v>31.8</v>
      </c>
      <c r="F37" s="391"/>
      <c r="G37" s="391"/>
      <c r="H37" s="391">
        <v>3</v>
      </c>
      <c r="I37" s="391"/>
      <c r="J37" s="391">
        <v>5.7</v>
      </c>
      <c r="K37" s="391">
        <v>62.8</v>
      </c>
      <c r="L37" s="391">
        <v>26.2</v>
      </c>
      <c r="M37" s="391">
        <v>20.3</v>
      </c>
      <c r="N37" s="391">
        <v>74.5</v>
      </c>
      <c r="O37" s="391">
        <v>135</v>
      </c>
      <c r="P37" s="391">
        <v>16.899999999999999</v>
      </c>
      <c r="Q37" s="391">
        <v>4</v>
      </c>
      <c r="R37" s="391">
        <v>2.5</v>
      </c>
      <c r="S37" s="391">
        <v>2.7</v>
      </c>
      <c r="T37" s="391">
        <v>2.2999999999999998</v>
      </c>
      <c r="U37" s="391">
        <v>2</v>
      </c>
      <c r="V37" s="391">
        <v>0.9</v>
      </c>
      <c r="W37" s="391">
        <v>1</v>
      </c>
      <c r="X37" s="391">
        <v>0.9</v>
      </c>
      <c r="Y37" s="391">
        <v>1</v>
      </c>
      <c r="Z37" s="391">
        <v>1.2</v>
      </c>
      <c r="AA37" s="391"/>
      <c r="AB37" s="391"/>
      <c r="AC37" s="391"/>
      <c r="AD37" s="391"/>
      <c r="AE37" s="391"/>
      <c r="AF37" s="391"/>
      <c r="AG37" s="391"/>
      <c r="AH37" s="391"/>
      <c r="AI37" s="391"/>
      <c r="AJ37" s="391"/>
      <c r="AK37" s="391"/>
      <c r="AL37" s="391"/>
      <c r="AM37" s="391"/>
      <c r="AN37" s="391"/>
      <c r="AO37" s="391"/>
      <c r="AP37" s="391"/>
      <c r="AQ37" s="391"/>
      <c r="AR37" s="391"/>
      <c r="AS37" s="391"/>
      <c r="AT37" s="391"/>
      <c r="AU37" s="391"/>
      <c r="AV37" s="391"/>
      <c r="AW37" s="391"/>
      <c r="AX37" s="391"/>
      <c r="AY37" s="391"/>
      <c r="AZ37" s="391"/>
      <c r="BA37" s="391"/>
      <c r="BB37" s="9">
        <v>440177</v>
      </c>
      <c r="BC37" s="9">
        <v>453342</v>
      </c>
      <c r="BD37" s="9">
        <v>4000</v>
      </c>
      <c r="BE37" s="9">
        <f t="shared" si="1"/>
        <v>13165</v>
      </c>
      <c r="BF37" s="3">
        <v>117</v>
      </c>
      <c r="BG37" s="3">
        <v>1.1000000000000001</v>
      </c>
      <c r="BH37" s="3">
        <f t="shared" si="2"/>
        <v>128.70000000000002</v>
      </c>
      <c r="BI37" s="3">
        <v>117</v>
      </c>
      <c r="BJ37" s="3">
        <v>1.1000000000000001</v>
      </c>
      <c r="BK37" s="3">
        <f t="shared" si="3"/>
        <v>128.70000000000002</v>
      </c>
      <c r="BL37" s="3">
        <v>80</v>
      </c>
      <c r="BM37" s="3">
        <v>364.15</v>
      </c>
      <c r="BN37" s="3">
        <f>+Shepparton!F27-Shepparton!C27</f>
        <v>465165</v>
      </c>
      <c r="BO37" s="3">
        <f t="shared" si="0"/>
        <v>1277</v>
      </c>
      <c r="BQ37" s="8"/>
      <c r="BS37" s="6"/>
      <c r="BT37" s="6"/>
    </row>
    <row r="38" spans="1:72">
      <c r="A38" s="3" t="s">
        <v>1429</v>
      </c>
      <c r="B38" s="391"/>
      <c r="C38" s="391"/>
      <c r="D38" s="391"/>
      <c r="E38" s="391"/>
      <c r="F38" s="391"/>
      <c r="G38" s="391"/>
      <c r="H38" s="391"/>
      <c r="I38" s="391"/>
      <c r="J38" s="391"/>
      <c r="K38" s="391"/>
      <c r="L38" s="391"/>
      <c r="M38" s="391"/>
      <c r="N38" s="391"/>
      <c r="O38" s="391"/>
      <c r="P38" s="391"/>
      <c r="Q38" s="391"/>
      <c r="R38" s="391"/>
      <c r="S38" s="391"/>
      <c r="T38" s="391"/>
      <c r="U38" s="391"/>
      <c r="V38" s="391"/>
      <c r="W38" s="391"/>
      <c r="X38" s="391"/>
      <c r="Y38" s="391"/>
      <c r="Z38" s="391"/>
      <c r="AA38" s="391"/>
      <c r="AB38" s="391"/>
      <c r="AC38" s="391"/>
      <c r="AD38" s="391"/>
      <c r="AE38" s="391"/>
      <c r="AF38" s="391"/>
      <c r="AG38" s="391"/>
      <c r="AH38" s="391"/>
      <c r="AI38" s="391"/>
      <c r="AJ38" s="391"/>
      <c r="AK38" s="391"/>
      <c r="AL38" s="391"/>
      <c r="AM38" s="391"/>
      <c r="AN38" s="391"/>
      <c r="AO38" s="391"/>
      <c r="AP38" s="391"/>
      <c r="AQ38" s="391"/>
      <c r="AR38" s="391"/>
      <c r="AS38" s="391"/>
      <c r="AT38" s="391"/>
      <c r="AU38" s="391"/>
      <c r="AV38" s="391"/>
      <c r="AW38" s="391"/>
      <c r="AX38" s="391"/>
      <c r="AY38" s="391"/>
      <c r="AZ38" s="391"/>
      <c r="BA38" s="391"/>
      <c r="BB38" s="9">
        <v>343405</v>
      </c>
      <c r="BC38" s="9">
        <v>356677</v>
      </c>
      <c r="BD38" s="9">
        <v>4000</v>
      </c>
      <c r="BE38" s="9">
        <f t="shared" si="1"/>
        <v>13272</v>
      </c>
      <c r="BF38" s="533">
        <f>70.7/1.1</f>
        <v>64.272727272727266</v>
      </c>
      <c r="BG38" s="3">
        <v>1.1000000000000001</v>
      </c>
      <c r="BH38" s="3">
        <f t="shared" ref="BH38:BH40" si="9">+BG38*BF38</f>
        <v>70.7</v>
      </c>
      <c r="BI38" s="533">
        <f>65.96/1.1</f>
        <v>59.963636363636354</v>
      </c>
      <c r="BJ38" s="3">
        <v>1.1000000000000001</v>
      </c>
      <c r="BK38" s="3">
        <f t="shared" si="3"/>
        <v>65.959999999999994</v>
      </c>
      <c r="BL38" s="3">
        <v>61</v>
      </c>
      <c r="BM38" s="3">
        <v>231.34</v>
      </c>
      <c r="BN38" s="3">
        <f>+Shepparton!F28-Shepparton!C28</f>
        <v>358655</v>
      </c>
      <c r="BO38" s="3">
        <f t="shared" si="0"/>
        <v>1550</v>
      </c>
      <c r="BQ38" s="8"/>
      <c r="BS38" s="6"/>
      <c r="BT38" s="6"/>
    </row>
    <row r="39" spans="1:72">
      <c r="A39" s="3" t="s">
        <v>1430</v>
      </c>
      <c r="B39" s="391"/>
      <c r="C39" s="391"/>
      <c r="D39" s="391"/>
      <c r="E39" s="391"/>
      <c r="F39" s="391"/>
      <c r="G39" s="391"/>
      <c r="H39" s="391"/>
      <c r="I39" s="391"/>
      <c r="J39" s="391"/>
      <c r="K39" s="391"/>
      <c r="L39" s="391"/>
      <c r="M39" s="391"/>
      <c r="N39" s="391"/>
      <c r="O39" s="391"/>
      <c r="P39" s="391"/>
      <c r="Q39" s="391"/>
      <c r="R39" s="391"/>
      <c r="S39" s="391"/>
      <c r="T39" s="391"/>
      <c r="U39" s="391"/>
      <c r="V39" s="391"/>
      <c r="W39" s="391"/>
      <c r="X39" s="391"/>
      <c r="Y39" s="391"/>
      <c r="Z39" s="391"/>
      <c r="AA39" s="391"/>
      <c r="AB39" s="391"/>
      <c r="AC39" s="391"/>
      <c r="AD39" s="391"/>
      <c r="AE39" s="391"/>
      <c r="AF39" s="391"/>
      <c r="AG39" s="391"/>
      <c r="AH39" s="391"/>
      <c r="AI39" s="391"/>
      <c r="AJ39" s="391"/>
      <c r="AK39" s="391"/>
      <c r="AL39" s="391"/>
      <c r="AM39" s="391"/>
      <c r="AN39" s="391"/>
      <c r="AO39" s="391"/>
      <c r="AP39" s="391"/>
      <c r="AQ39" s="391"/>
      <c r="AR39" s="391"/>
      <c r="AS39" s="391"/>
      <c r="AT39" s="391"/>
      <c r="AU39" s="391"/>
      <c r="AV39" s="391"/>
      <c r="AW39" s="391"/>
      <c r="AX39" s="391"/>
      <c r="AY39" s="391"/>
      <c r="AZ39" s="391"/>
      <c r="BA39" s="391"/>
      <c r="BB39" s="9">
        <v>390384</v>
      </c>
      <c r="BC39" s="9">
        <v>403713</v>
      </c>
      <c r="BD39" s="9">
        <v>4000</v>
      </c>
      <c r="BE39" s="9">
        <f t="shared" si="1"/>
        <v>13329</v>
      </c>
      <c r="BF39" s="533">
        <f>85.22/1.1</f>
        <v>77.472727272727269</v>
      </c>
      <c r="BG39" s="3">
        <v>1.1000000000000001</v>
      </c>
      <c r="BH39" s="3">
        <f t="shared" si="9"/>
        <v>85.22</v>
      </c>
      <c r="BI39" s="533">
        <f>93.9/1.1</f>
        <v>85.36363636363636</v>
      </c>
      <c r="BJ39" s="3">
        <v>1.1000000000000001</v>
      </c>
      <c r="BK39" s="3">
        <f t="shared" si="3"/>
        <v>93.9</v>
      </c>
      <c r="BL39" s="3">
        <v>70</v>
      </c>
      <c r="BM39" s="3">
        <v>284.14999999999998</v>
      </c>
      <c r="BN39" s="3">
        <f>+Shepparton!F29-Shepparton!C29</f>
        <v>408805</v>
      </c>
      <c r="BO39" s="3">
        <f t="shared" si="0"/>
        <v>1439</v>
      </c>
      <c r="BQ39" s="8"/>
      <c r="BS39" s="6"/>
      <c r="BT39" s="6"/>
    </row>
    <row r="40" spans="1:72">
      <c r="A40" s="3" t="s">
        <v>1431</v>
      </c>
      <c r="B40" s="391"/>
      <c r="C40" s="391"/>
      <c r="D40" s="391"/>
      <c r="E40" s="391"/>
      <c r="F40" s="391"/>
      <c r="G40" s="391"/>
      <c r="H40" s="391"/>
      <c r="I40" s="391"/>
      <c r="J40" s="391"/>
      <c r="K40" s="391"/>
      <c r="L40" s="391"/>
      <c r="M40" s="391"/>
      <c r="N40" s="391"/>
      <c r="O40" s="391"/>
      <c r="P40" s="391"/>
      <c r="Q40" s="391"/>
      <c r="R40" s="391"/>
      <c r="S40" s="391"/>
      <c r="T40" s="391"/>
      <c r="U40" s="391"/>
      <c r="V40" s="391"/>
      <c r="W40" s="391"/>
      <c r="X40" s="391"/>
      <c r="Y40" s="391"/>
      <c r="Z40" s="391"/>
      <c r="AA40" s="391"/>
      <c r="AB40" s="391"/>
      <c r="AC40" s="391"/>
      <c r="AD40" s="391"/>
      <c r="AE40" s="391"/>
      <c r="AF40" s="391"/>
      <c r="AG40" s="391"/>
      <c r="AH40" s="391"/>
      <c r="AI40" s="391"/>
      <c r="AJ40" s="391"/>
      <c r="AK40" s="391"/>
      <c r="AL40" s="391"/>
      <c r="AM40" s="391"/>
      <c r="AN40" s="391"/>
      <c r="AO40" s="391"/>
      <c r="AP40" s="391"/>
      <c r="AQ40" s="391"/>
      <c r="AR40" s="391"/>
      <c r="AS40" s="391"/>
      <c r="AT40" s="391"/>
      <c r="AU40" s="391"/>
      <c r="AV40" s="391"/>
      <c r="AW40" s="391"/>
      <c r="AX40" s="391"/>
      <c r="AY40" s="391"/>
      <c r="AZ40" s="391"/>
      <c r="BA40" s="391"/>
      <c r="BB40" s="9">
        <v>411473</v>
      </c>
      <c r="BC40" s="9">
        <v>422047</v>
      </c>
      <c r="BD40" s="9">
        <v>4000</v>
      </c>
      <c r="BE40" s="9">
        <f t="shared" si="1"/>
        <v>10574</v>
      </c>
      <c r="BF40" s="533">
        <f>93.92/1.1</f>
        <v>85.381818181818176</v>
      </c>
      <c r="BG40" s="3">
        <v>1.1000000000000001</v>
      </c>
      <c r="BH40" s="3">
        <f t="shared" si="9"/>
        <v>93.92</v>
      </c>
      <c r="BI40" s="533">
        <f>105.78/1.1</f>
        <v>96.163636363636357</v>
      </c>
      <c r="BJ40" s="3">
        <v>1.1000000000000001</v>
      </c>
      <c r="BK40" s="3">
        <f t="shared" si="3"/>
        <v>105.78</v>
      </c>
      <c r="BL40" s="3">
        <v>74</v>
      </c>
      <c r="BM40" s="3">
        <v>317.69</v>
      </c>
      <c r="BN40" s="3">
        <f>+Shepparton!F30-Shepparton!C30</f>
        <v>431505</v>
      </c>
      <c r="BO40" s="3">
        <f t="shared" si="0"/>
        <v>1358</v>
      </c>
      <c r="BQ40" s="8"/>
      <c r="BS40" s="6"/>
      <c r="BT40" s="6"/>
    </row>
    <row r="41" spans="1:72">
      <c r="A41" s="3" t="s">
        <v>32</v>
      </c>
      <c r="B41" s="391">
        <v>154.69999999999999</v>
      </c>
      <c r="C41" s="391">
        <v>38.799999999999997</v>
      </c>
      <c r="D41" s="391">
        <v>5.88</v>
      </c>
      <c r="E41" s="391">
        <v>13.63</v>
      </c>
      <c r="F41" s="391"/>
      <c r="G41" s="391"/>
      <c r="H41" s="391">
        <v>1</v>
      </c>
      <c r="I41" s="391"/>
      <c r="J41" s="391">
        <v>12.72</v>
      </c>
      <c r="K41" s="391">
        <v>51.381</v>
      </c>
      <c r="L41" s="391">
        <v>20.817</v>
      </c>
      <c r="M41" s="391">
        <v>13.47</v>
      </c>
      <c r="N41" s="391">
        <v>55.16</v>
      </c>
      <c r="O41" s="391">
        <v>57.7</v>
      </c>
      <c r="P41" s="391">
        <v>4.2</v>
      </c>
      <c r="Q41" s="391">
        <v>2.37</v>
      </c>
      <c r="R41" s="391">
        <v>2.37</v>
      </c>
      <c r="S41" s="391">
        <v>2.7</v>
      </c>
      <c r="T41" s="391">
        <v>0.9</v>
      </c>
      <c r="U41" s="391">
        <v>1</v>
      </c>
      <c r="V41" s="391">
        <v>0.9</v>
      </c>
      <c r="W41" s="391">
        <v>1</v>
      </c>
      <c r="X41" s="391">
        <v>0</v>
      </c>
      <c r="Y41" s="391">
        <v>0</v>
      </c>
      <c r="Z41" s="391">
        <v>1.2</v>
      </c>
      <c r="AA41" s="391"/>
      <c r="AB41" s="391"/>
      <c r="AC41" s="391"/>
      <c r="AD41" s="391"/>
      <c r="AE41" s="391"/>
      <c r="AF41" s="391"/>
      <c r="AG41" s="391"/>
      <c r="AH41" s="391"/>
      <c r="AI41" s="391"/>
      <c r="AJ41" s="391"/>
      <c r="AK41" s="391"/>
      <c r="AL41" s="391"/>
      <c r="AM41" s="391"/>
      <c r="AN41" s="391"/>
      <c r="AO41" s="391"/>
      <c r="AP41" s="391"/>
      <c r="AQ41" s="391"/>
      <c r="AR41" s="391"/>
      <c r="AS41" s="391"/>
      <c r="AT41" s="391"/>
      <c r="AU41" s="391"/>
      <c r="AV41" s="391"/>
      <c r="AW41" s="391"/>
      <c r="AX41" s="391"/>
      <c r="AY41" s="391"/>
      <c r="AZ41" s="391"/>
      <c r="BA41" s="391"/>
      <c r="BB41" s="9">
        <v>313918</v>
      </c>
      <c r="BC41" s="9">
        <v>327135</v>
      </c>
      <c r="BD41" s="9">
        <v>3000</v>
      </c>
      <c r="BE41" s="9">
        <f t="shared" si="1"/>
        <v>13217</v>
      </c>
      <c r="BF41" s="3">
        <v>71.87</v>
      </c>
      <c r="BG41" s="3">
        <v>1.1000000000000001</v>
      </c>
      <c r="BH41" s="3">
        <f t="shared" si="2"/>
        <v>79.057000000000016</v>
      </c>
      <c r="BI41" s="3">
        <v>45.5</v>
      </c>
      <c r="BJ41" s="3">
        <v>1.1000000000000001</v>
      </c>
      <c r="BK41" s="3">
        <f t="shared" si="3"/>
        <v>50.050000000000004</v>
      </c>
      <c r="BL41" s="3">
        <v>56</v>
      </c>
      <c r="BM41" s="3">
        <v>212.95</v>
      </c>
      <c r="BN41" s="3">
        <f>+Shepparton!F31-Shepparton!C31</f>
        <v>328070</v>
      </c>
      <c r="BO41" s="3">
        <f t="shared" si="0"/>
        <v>1541</v>
      </c>
      <c r="BQ41" s="8"/>
      <c r="BS41" s="6"/>
      <c r="BT41" s="6"/>
    </row>
    <row r="42" spans="1:72">
      <c r="A42" s="3" t="s">
        <v>33</v>
      </c>
      <c r="B42" s="391">
        <v>181.61</v>
      </c>
      <c r="C42" s="391">
        <v>38.82</v>
      </c>
      <c r="D42" s="391">
        <v>5.88</v>
      </c>
      <c r="E42" s="391">
        <v>17.38</v>
      </c>
      <c r="F42" s="391"/>
      <c r="G42" s="391"/>
      <c r="H42" s="391">
        <v>1</v>
      </c>
      <c r="I42" s="391"/>
      <c r="J42" s="391">
        <v>12.77</v>
      </c>
      <c r="K42" s="391">
        <v>51.267000000000003</v>
      </c>
      <c r="L42" s="391">
        <v>20.239000000000001</v>
      </c>
      <c r="M42" s="391">
        <v>16.46</v>
      </c>
      <c r="N42" s="391">
        <v>60.98</v>
      </c>
      <c r="O42" s="391">
        <v>70.099999999999994</v>
      </c>
      <c r="P42" s="391">
        <v>4.2</v>
      </c>
      <c r="Q42" s="391">
        <v>2.37</v>
      </c>
      <c r="R42" s="391">
        <v>2.37</v>
      </c>
      <c r="S42" s="391">
        <v>2.7</v>
      </c>
      <c r="T42" s="391">
        <v>0.9</v>
      </c>
      <c r="U42" s="391">
        <v>1</v>
      </c>
      <c r="V42" s="391">
        <v>0.9</v>
      </c>
      <c r="W42" s="391">
        <v>1</v>
      </c>
      <c r="X42" s="391">
        <v>0</v>
      </c>
      <c r="Y42" s="391">
        <v>0</v>
      </c>
      <c r="Z42" s="391">
        <v>1.2</v>
      </c>
      <c r="AA42" s="391"/>
      <c r="AB42" s="391"/>
      <c r="AC42" s="391"/>
      <c r="AD42" s="391"/>
      <c r="AE42" s="391"/>
      <c r="AF42" s="391"/>
      <c r="AG42" s="391"/>
      <c r="AH42" s="391"/>
      <c r="AI42" s="391"/>
      <c r="AJ42" s="391"/>
      <c r="AK42" s="391"/>
      <c r="AL42" s="391"/>
      <c r="AM42" s="391"/>
      <c r="AN42" s="391"/>
      <c r="AO42" s="391"/>
      <c r="AP42" s="391"/>
      <c r="AQ42" s="391"/>
      <c r="AR42" s="391"/>
      <c r="AS42" s="391"/>
      <c r="AT42" s="391"/>
      <c r="AU42" s="391"/>
      <c r="AV42" s="391"/>
      <c r="AW42" s="391"/>
      <c r="AX42" s="391"/>
      <c r="AY42" s="391"/>
      <c r="AZ42" s="391"/>
      <c r="BA42" s="391"/>
      <c r="BB42" s="9">
        <v>335864</v>
      </c>
      <c r="BC42" s="9">
        <v>349100</v>
      </c>
      <c r="BD42" s="9">
        <v>4000</v>
      </c>
      <c r="BE42" s="9">
        <f t="shared" si="1"/>
        <v>13236</v>
      </c>
      <c r="BF42" s="3">
        <v>62.78</v>
      </c>
      <c r="BG42" s="3">
        <v>1.1000000000000001</v>
      </c>
      <c r="BH42" s="3">
        <f t="shared" si="2"/>
        <v>69.058000000000007</v>
      </c>
      <c r="BI42" s="3">
        <v>76.599999999999994</v>
      </c>
      <c r="BJ42" s="3">
        <v>1.1000000000000001</v>
      </c>
      <c r="BK42" s="3">
        <f t="shared" si="3"/>
        <v>84.26</v>
      </c>
      <c r="BL42" s="3">
        <v>62</v>
      </c>
      <c r="BM42" s="3">
        <v>243.4</v>
      </c>
      <c r="BN42" s="3">
        <f>+Shepparton!F32-Shepparton!C32</f>
        <v>352045</v>
      </c>
      <c r="BO42" s="3">
        <f t="shared" si="0"/>
        <v>1446</v>
      </c>
      <c r="BQ42" s="8"/>
      <c r="BS42" s="6"/>
      <c r="BT42" s="6"/>
    </row>
    <row r="43" spans="1:72">
      <c r="A43" s="3" t="s">
        <v>34</v>
      </c>
      <c r="B43" s="391">
        <v>224.46</v>
      </c>
      <c r="C43" s="391">
        <v>38.82</v>
      </c>
      <c r="D43" s="391">
        <v>5.88</v>
      </c>
      <c r="E43" s="391">
        <v>17</v>
      </c>
      <c r="F43" s="391"/>
      <c r="G43" s="391"/>
      <c r="H43" s="391">
        <v>1</v>
      </c>
      <c r="I43" s="391"/>
      <c r="J43" s="391">
        <v>12.77</v>
      </c>
      <c r="K43" s="391">
        <v>49.088999999999999</v>
      </c>
      <c r="L43" s="391">
        <v>20.925000000000001</v>
      </c>
      <c r="M43" s="391">
        <v>22.954999999999998</v>
      </c>
      <c r="N43" s="391">
        <v>70.77</v>
      </c>
      <c r="O43" s="391">
        <v>90.25</v>
      </c>
      <c r="P43" s="391">
        <v>4</v>
      </c>
      <c r="Q43" s="391">
        <v>2.17</v>
      </c>
      <c r="R43" s="391">
        <v>2.17</v>
      </c>
      <c r="S43" s="391">
        <v>2.7</v>
      </c>
      <c r="T43" s="391">
        <v>0.9</v>
      </c>
      <c r="U43" s="391">
        <v>1</v>
      </c>
      <c r="V43" s="391">
        <v>0.9</v>
      </c>
      <c r="W43" s="391">
        <v>1</v>
      </c>
      <c r="X43" s="391">
        <v>0</v>
      </c>
      <c r="Y43" s="391">
        <v>0</v>
      </c>
      <c r="Z43" s="391">
        <v>1.2</v>
      </c>
      <c r="AA43" s="391"/>
      <c r="AB43" s="391"/>
      <c r="AC43" s="391"/>
      <c r="AD43" s="391"/>
      <c r="AE43" s="391"/>
      <c r="AF43" s="391"/>
      <c r="AG43" s="391"/>
      <c r="AH43" s="391"/>
      <c r="AI43" s="391"/>
      <c r="AJ43" s="391"/>
      <c r="AK43" s="391"/>
      <c r="AL43" s="391"/>
      <c r="AM43" s="391"/>
      <c r="AN43" s="391"/>
      <c r="AO43" s="391"/>
      <c r="AP43" s="391"/>
      <c r="AQ43" s="391"/>
      <c r="AR43" s="391"/>
      <c r="AS43" s="391"/>
      <c r="AT43" s="391"/>
      <c r="AU43" s="391"/>
      <c r="AV43" s="391"/>
      <c r="AW43" s="391"/>
      <c r="AX43" s="391"/>
      <c r="AY43" s="391"/>
      <c r="AZ43" s="391"/>
      <c r="BA43" s="391"/>
      <c r="BB43" s="9">
        <v>371790</v>
      </c>
      <c r="BC43" s="9">
        <v>386547</v>
      </c>
      <c r="BD43" s="9">
        <v>4000</v>
      </c>
      <c r="BE43" s="9">
        <f t="shared" si="1"/>
        <v>14757</v>
      </c>
      <c r="BF43" s="3">
        <v>73.209999999999994</v>
      </c>
      <c r="BG43" s="3">
        <v>1.1000000000000001</v>
      </c>
      <c r="BH43" s="3">
        <f t="shared" si="2"/>
        <v>80.531000000000006</v>
      </c>
      <c r="BI43" s="3">
        <v>105.62</v>
      </c>
      <c r="BJ43" s="3">
        <v>1.1000000000000001</v>
      </c>
      <c r="BK43" s="3">
        <f t="shared" si="3"/>
        <v>116.18200000000002</v>
      </c>
      <c r="BL43" s="3">
        <v>72</v>
      </c>
      <c r="BM43" s="3">
        <v>286.12</v>
      </c>
      <c r="BN43" s="3">
        <f>+Shepparton!F33-Shepparton!C33</f>
        <v>391060</v>
      </c>
      <c r="BO43" s="3">
        <f t="shared" si="0"/>
        <v>1367</v>
      </c>
      <c r="BQ43" s="8"/>
      <c r="BS43" s="6"/>
      <c r="BT43" s="6"/>
    </row>
    <row r="44" spans="1:72">
      <c r="A44" s="3" t="s">
        <v>35</v>
      </c>
      <c r="B44" s="391">
        <v>180.94</v>
      </c>
      <c r="C44" s="391">
        <v>38.479999999999997</v>
      </c>
      <c r="D44" s="391">
        <v>2.64</v>
      </c>
      <c r="E44" s="391">
        <v>13.59</v>
      </c>
      <c r="F44" s="391"/>
      <c r="G44" s="391"/>
      <c r="H44" s="391">
        <v>2</v>
      </c>
      <c r="I44" s="391"/>
      <c r="J44" s="391">
        <v>6.62</v>
      </c>
      <c r="K44" s="391">
        <v>39.76</v>
      </c>
      <c r="L44" s="391">
        <v>10.394</v>
      </c>
      <c r="M44" s="391">
        <v>15.11</v>
      </c>
      <c r="N44" s="391">
        <v>55.97</v>
      </c>
      <c r="O44" s="391">
        <v>69.599999999999994</v>
      </c>
      <c r="P44" s="391">
        <v>4.22</v>
      </c>
      <c r="Q44" s="391">
        <v>3.32</v>
      </c>
      <c r="R44" s="391">
        <v>3.32</v>
      </c>
      <c r="S44" s="391">
        <v>2.7</v>
      </c>
      <c r="T44" s="391">
        <v>1.3</v>
      </c>
      <c r="U44" s="391">
        <v>1</v>
      </c>
      <c r="V44" s="391">
        <v>0.9</v>
      </c>
      <c r="W44" s="391">
        <v>1</v>
      </c>
      <c r="X44" s="391">
        <v>0</v>
      </c>
      <c r="Y44" s="391">
        <v>0</v>
      </c>
      <c r="Z44" s="391">
        <v>1.2</v>
      </c>
      <c r="AA44" s="391"/>
      <c r="AB44" s="391"/>
      <c r="AC44" s="391"/>
      <c r="AD44" s="391"/>
      <c r="AE44" s="391"/>
      <c r="AF44" s="391"/>
      <c r="AG44" s="391"/>
      <c r="AH44" s="391"/>
      <c r="AI44" s="391"/>
      <c r="AJ44" s="391"/>
      <c r="AK44" s="391"/>
      <c r="AL44" s="391"/>
      <c r="AM44" s="391"/>
      <c r="AN44" s="391"/>
      <c r="AO44" s="391"/>
      <c r="AP44" s="391"/>
      <c r="AQ44" s="391"/>
      <c r="AR44" s="391"/>
      <c r="AS44" s="391"/>
      <c r="AT44" s="391"/>
      <c r="AU44" s="391"/>
      <c r="AV44" s="391"/>
      <c r="AW44" s="391"/>
      <c r="AX44" s="391"/>
      <c r="AY44" s="391"/>
      <c r="AZ44" s="391"/>
      <c r="BA44" s="391"/>
      <c r="BB44" s="9">
        <v>326725</v>
      </c>
      <c r="BC44" s="9">
        <v>339954</v>
      </c>
      <c r="BD44" s="9">
        <v>4000</v>
      </c>
      <c r="BE44" s="9">
        <f t="shared" si="1"/>
        <v>13229</v>
      </c>
      <c r="BF44" s="3">
        <v>82.18</v>
      </c>
      <c r="BG44" s="3">
        <v>1.1000000000000001</v>
      </c>
      <c r="BH44" s="3">
        <f t="shared" si="2"/>
        <v>90.39800000000001</v>
      </c>
      <c r="BI44" s="3">
        <v>57.02</v>
      </c>
      <c r="BJ44" s="3">
        <v>1.1000000000000001</v>
      </c>
      <c r="BK44" s="3">
        <f t="shared" si="3"/>
        <v>62.722000000000008</v>
      </c>
      <c r="BL44" s="3">
        <v>63</v>
      </c>
      <c r="BM44" s="3">
        <v>235.76</v>
      </c>
      <c r="BN44" s="3">
        <f>+Shepparton!F34-Shepparton!C34</f>
        <v>343810</v>
      </c>
      <c r="BO44" s="3">
        <f t="shared" si="0"/>
        <v>1458</v>
      </c>
      <c r="BQ44" s="8"/>
      <c r="BS44" s="6"/>
      <c r="BT44" s="6"/>
    </row>
    <row r="45" spans="1:72">
      <c r="A45" s="3" t="s">
        <v>36</v>
      </c>
      <c r="B45" s="391">
        <v>220.25</v>
      </c>
      <c r="C45" s="391">
        <v>38.6</v>
      </c>
      <c r="D45" s="391">
        <v>4.83</v>
      </c>
      <c r="E45" s="391">
        <v>24.53</v>
      </c>
      <c r="F45" s="391"/>
      <c r="G45" s="391"/>
      <c r="H45" s="391">
        <v>1</v>
      </c>
      <c r="I45" s="391"/>
      <c r="J45" s="391">
        <v>7.02</v>
      </c>
      <c r="K45" s="391">
        <v>45.552</v>
      </c>
      <c r="L45" s="391">
        <v>12.01</v>
      </c>
      <c r="M45" s="391">
        <v>15.04</v>
      </c>
      <c r="N45" s="391">
        <v>62.57</v>
      </c>
      <c r="O45" s="391">
        <v>88.08</v>
      </c>
      <c r="P45" s="391">
        <v>4.5199999999999996</v>
      </c>
      <c r="Q45" s="391">
        <v>3.62</v>
      </c>
      <c r="R45" s="391">
        <v>3.62</v>
      </c>
      <c r="S45" s="391">
        <v>2.7</v>
      </c>
      <c r="T45" s="391">
        <v>1.87</v>
      </c>
      <c r="U45" s="391">
        <v>2</v>
      </c>
      <c r="V45" s="391">
        <v>0.9</v>
      </c>
      <c r="W45" s="391">
        <v>1</v>
      </c>
      <c r="X45" s="391">
        <v>0</v>
      </c>
      <c r="Y45" s="391">
        <v>0</v>
      </c>
      <c r="Z45" s="391">
        <v>1.2</v>
      </c>
      <c r="AA45" s="391"/>
      <c r="AB45" s="391"/>
      <c r="AC45" s="391"/>
      <c r="AD45" s="391"/>
      <c r="AE45" s="391"/>
      <c r="AF45" s="391"/>
      <c r="AG45" s="391"/>
      <c r="AH45" s="391"/>
      <c r="AI45" s="391"/>
      <c r="AJ45" s="391"/>
      <c r="AK45" s="391"/>
      <c r="AL45" s="391"/>
      <c r="AM45" s="391"/>
      <c r="AN45" s="391"/>
      <c r="AO45" s="391"/>
      <c r="AP45" s="391"/>
      <c r="AQ45" s="391"/>
      <c r="AR45" s="391"/>
      <c r="AS45" s="391"/>
      <c r="AT45" s="391"/>
      <c r="AU45" s="391"/>
      <c r="AV45" s="391"/>
      <c r="AW45" s="391"/>
      <c r="AX45" s="391"/>
      <c r="AY45" s="391"/>
      <c r="AZ45" s="391"/>
      <c r="BA45" s="391"/>
      <c r="BB45" s="9">
        <v>365164</v>
      </c>
      <c r="BC45" s="9">
        <v>379707</v>
      </c>
      <c r="BD45" s="9">
        <v>4000</v>
      </c>
      <c r="BE45" s="9">
        <f t="shared" si="1"/>
        <v>14543</v>
      </c>
      <c r="BF45" s="3">
        <v>95.72</v>
      </c>
      <c r="BG45" s="3">
        <v>1.1000000000000001</v>
      </c>
      <c r="BH45" s="3">
        <f t="shared" si="2"/>
        <v>105.292</v>
      </c>
      <c r="BI45" s="3">
        <v>76.78</v>
      </c>
      <c r="BJ45" s="3">
        <v>1.1000000000000001</v>
      </c>
      <c r="BK45" s="3">
        <f t="shared" si="3"/>
        <v>84.458000000000013</v>
      </c>
      <c r="BL45" s="3">
        <v>68</v>
      </c>
      <c r="BM45" s="3">
        <v>288.33999999999997</v>
      </c>
      <c r="BN45" s="3">
        <f>+Shepparton!F35-Shepparton!C35</f>
        <v>385090</v>
      </c>
      <c r="BO45" s="3">
        <f t="shared" si="0"/>
        <v>1336</v>
      </c>
      <c r="BQ45" s="8"/>
      <c r="BS45" s="6"/>
      <c r="BT45" s="6"/>
    </row>
    <row r="46" spans="1:72">
      <c r="A46" s="3" t="s">
        <v>37</v>
      </c>
      <c r="B46" s="391">
        <v>259.37</v>
      </c>
      <c r="C46" s="391">
        <v>38.56</v>
      </c>
      <c r="D46" s="391">
        <v>5.99</v>
      </c>
      <c r="E46" s="391">
        <v>30.39</v>
      </c>
      <c r="F46" s="391"/>
      <c r="G46" s="391"/>
      <c r="H46" s="391">
        <v>3</v>
      </c>
      <c r="I46" s="391"/>
      <c r="J46" s="391">
        <v>9.2100000000000009</v>
      </c>
      <c r="K46" s="391">
        <v>57.302999999999997</v>
      </c>
      <c r="L46" s="391">
        <v>18.100000000000001</v>
      </c>
      <c r="M46" s="391">
        <v>13</v>
      </c>
      <c r="N46" s="391">
        <v>66.3</v>
      </c>
      <c r="O46" s="391">
        <v>96.65</v>
      </c>
      <c r="P46" s="391">
        <v>4.2</v>
      </c>
      <c r="Q46" s="391">
        <v>4.2</v>
      </c>
      <c r="R46" s="391">
        <v>4.2</v>
      </c>
      <c r="S46" s="391">
        <v>2.7</v>
      </c>
      <c r="T46" s="391">
        <v>1.9</v>
      </c>
      <c r="U46" s="391">
        <v>2</v>
      </c>
      <c r="V46" s="391">
        <v>0.9</v>
      </c>
      <c r="W46" s="391">
        <v>1</v>
      </c>
      <c r="X46" s="391">
        <v>0</v>
      </c>
      <c r="Y46" s="391">
        <v>0</v>
      </c>
      <c r="Z46" s="391">
        <v>1.2</v>
      </c>
      <c r="AA46" s="391"/>
      <c r="AB46" s="391"/>
      <c r="AC46" s="391"/>
      <c r="AD46" s="391"/>
      <c r="AE46" s="391"/>
      <c r="AF46" s="391"/>
      <c r="AG46" s="391"/>
      <c r="AH46" s="391"/>
      <c r="AI46" s="391"/>
      <c r="AJ46" s="391"/>
      <c r="AK46" s="391"/>
      <c r="AL46" s="391"/>
      <c r="AM46" s="391"/>
      <c r="AN46" s="391"/>
      <c r="AO46" s="391"/>
      <c r="AP46" s="391"/>
      <c r="AQ46" s="391"/>
      <c r="AR46" s="391"/>
      <c r="AS46" s="391"/>
      <c r="AT46" s="391"/>
      <c r="AU46" s="391"/>
      <c r="AV46" s="391"/>
      <c r="AW46" s="391"/>
      <c r="AX46" s="391"/>
      <c r="AY46" s="391"/>
      <c r="AZ46" s="391"/>
      <c r="BA46" s="391"/>
      <c r="BB46" s="9">
        <v>395974</v>
      </c>
      <c r="BC46" s="9">
        <v>409146</v>
      </c>
      <c r="BD46" s="9">
        <v>4000</v>
      </c>
      <c r="BE46" s="9">
        <f t="shared" si="1"/>
        <v>13172</v>
      </c>
      <c r="BF46" s="3">
        <v>108.66</v>
      </c>
      <c r="BG46" s="3">
        <v>1.1000000000000001</v>
      </c>
      <c r="BH46" s="3">
        <f t="shared" si="2"/>
        <v>119.52600000000001</v>
      </c>
      <c r="BI46" s="3">
        <v>97.65</v>
      </c>
      <c r="BJ46" s="3">
        <v>1.1000000000000001</v>
      </c>
      <c r="BK46" s="3">
        <f t="shared" si="3"/>
        <v>107.41500000000002</v>
      </c>
      <c r="BL46" s="3">
        <v>69</v>
      </c>
      <c r="BM46" s="3">
        <v>334.42</v>
      </c>
      <c r="BN46" s="3">
        <f>+Shepparton!F36-Shepparton!C36</f>
        <v>418740</v>
      </c>
      <c r="BO46" s="3">
        <f t="shared" si="0"/>
        <v>1252</v>
      </c>
      <c r="BQ46" s="8"/>
      <c r="BS46" s="6"/>
      <c r="BT46" s="6"/>
    </row>
    <row r="47" spans="1:72">
      <c r="A47" s="3" t="s">
        <v>38</v>
      </c>
      <c r="B47" s="391">
        <v>158.04</v>
      </c>
      <c r="C47" s="391">
        <v>38.46</v>
      </c>
      <c r="D47" s="391">
        <v>12.31</v>
      </c>
      <c r="E47" s="391">
        <v>0</v>
      </c>
      <c r="F47" s="391"/>
      <c r="G47" s="391"/>
      <c r="H47" s="391">
        <v>2</v>
      </c>
      <c r="I47" s="391"/>
      <c r="J47" s="391">
        <v>6.73</v>
      </c>
      <c r="K47" s="391">
        <v>54.13</v>
      </c>
      <c r="L47" s="391">
        <v>21.03</v>
      </c>
      <c r="M47" s="391">
        <v>11.28</v>
      </c>
      <c r="N47" s="391">
        <v>55.18</v>
      </c>
      <c r="O47" s="391">
        <v>64.349999999999994</v>
      </c>
      <c r="P47" s="391">
        <v>2.8</v>
      </c>
      <c r="Q47" s="391">
        <v>1.9</v>
      </c>
      <c r="R47" s="391">
        <v>1.9</v>
      </c>
      <c r="S47" s="391">
        <v>2.7</v>
      </c>
      <c r="T47" s="391">
        <v>0.9</v>
      </c>
      <c r="U47" s="391">
        <v>1</v>
      </c>
      <c r="V47" s="391">
        <v>0.9</v>
      </c>
      <c r="W47" s="391">
        <v>1</v>
      </c>
      <c r="X47" s="391">
        <v>0</v>
      </c>
      <c r="Y47" s="391">
        <v>0</v>
      </c>
      <c r="Z47" s="391">
        <v>1.2</v>
      </c>
      <c r="AA47" s="391"/>
      <c r="AB47" s="391"/>
      <c r="AC47" s="391"/>
      <c r="AD47" s="391"/>
      <c r="AE47" s="391"/>
      <c r="AF47" s="391"/>
      <c r="AG47" s="391"/>
      <c r="AH47" s="391"/>
      <c r="AI47" s="391"/>
      <c r="AJ47" s="391"/>
      <c r="AK47" s="391"/>
      <c r="AL47" s="391"/>
      <c r="AM47" s="391"/>
      <c r="AN47" s="391"/>
      <c r="AO47" s="391"/>
      <c r="AP47" s="391"/>
      <c r="AQ47" s="391"/>
      <c r="AR47" s="391"/>
      <c r="AS47" s="391"/>
      <c r="AT47" s="391"/>
      <c r="AU47" s="391"/>
      <c r="AV47" s="391"/>
      <c r="AW47" s="391"/>
      <c r="AX47" s="391"/>
      <c r="AY47" s="391"/>
      <c r="AZ47" s="391"/>
      <c r="BA47" s="391"/>
      <c r="BB47" s="9">
        <v>306745</v>
      </c>
      <c r="BC47" s="9">
        <v>319820</v>
      </c>
      <c r="BD47" s="9">
        <v>3000</v>
      </c>
      <c r="BE47" s="9">
        <f t="shared" si="1"/>
        <v>13075</v>
      </c>
      <c r="BF47" s="3">
        <v>70.3</v>
      </c>
      <c r="BG47" s="3">
        <v>1.1000000000000001</v>
      </c>
      <c r="BH47" s="3">
        <f t="shared" si="2"/>
        <v>77.33</v>
      </c>
      <c r="BI47" s="3">
        <v>52.46</v>
      </c>
      <c r="BJ47" s="3">
        <v>1.1000000000000001</v>
      </c>
      <c r="BK47" s="3">
        <f t="shared" si="3"/>
        <v>57.706000000000003</v>
      </c>
      <c r="BL47" s="3">
        <v>57</v>
      </c>
      <c r="BM47" s="3">
        <v>208.8</v>
      </c>
      <c r="BN47" s="3">
        <f>+Shepparton!F37-Shepparton!C37</f>
        <v>321180</v>
      </c>
      <c r="BO47" s="3">
        <f t="shared" si="0"/>
        <v>1538</v>
      </c>
      <c r="BQ47" s="8"/>
      <c r="BS47" s="6"/>
      <c r="BT47" s="6"/>
    </row>
    <row r="48" spans="1:72">
      <c r="A48" s="3" t="s">
        <v>39</v>
      </c>
      <c r="B48" s="391">
        <v>177.2</v>
      </c>
      <c r="C48" s="391">
        <v>38.47</v>
      </c>
      <c r="D48" s="391">
        <v>12.31</v>
      </c>
      <c r="E48" s="391">
        <v>0</v>
      </c>
      <c r="F48" s="391"/>
      <c r="G48" s="391"/>
      <c r="H48" s="391">
        <v>2</v>
      </c>
      <c r="I48" s="391"/>
      <c r="J48" s="391">
        <v>6.73</v>
      </c>
      <c r="K48" s="391">
        <v>53.2</v>
      </c>
      <c r="L48" s="391">
        <v>19.745000000000001</v>
      </c>
      <c r="M48" s="391">
        <v>11.28</v>
      </c>
      <c r="N48" s="391">
        <v>55.18</v>
      </c>
      <c r="O48" s="391">
        <v>72.72</v>
      </c>
      <c r="P48" s="391">
        <v>2.8</v>
      </c>
      <c r="Q48" s="391">
        <v>1.9</v>
      </c>
      <c r="R48" s="391">
        <v>1.9</v>
      </c>
      <c r="S48" s="391">
        <v>2.7</v>
      </c>
      <c r="T48" s="391">
        <v>0.9</v>
      </c>
      <c r="U48" s="391">
        <v>1</v>
      </c>
      <c r="V48" s="391">
        <v>0.9</v>
      </c>
      <c r="W48" s="391">
        <v>1</v>
      </c>
      <c r="X48" s="391">
        <v>0</v>
      </c>
      <c r="Y48" s="391">
        <v>0</v>
      </c>
      <c r="Z48" s="391">
        <v>1.2</v>
      </c>
      <c r="AA48" s="391"/>
      <c r="AB48" s="391"/>
      <c r="AC48" s="391"/>
      <c r="AD48" s="391"/>
      <c r="AE48" s="391"/>
      <c r="AF48" s="391"/>
      <c r="AG48" s="391"/>
      <c r="AH48" s="391"/>
      <c r="AI48" s="391"/>
      <c r="AJ48" s="391"/>
      <c r="AK48" s="391"/>
      <c r="AL48" s="391"/>
      <c r="AM48" s="391"/>
      <c r="AN48" s="391"/>
      <c r="AO48" s="391"/>
      <c r="AP48" s="391"/>
      <c r="AQ48" s="391"/>
      <c r="AR48" s="391"/>
      <c r="AS48" s="391"/>
      <c r="AT48" s="391"/>
      <c r="AU48" s="391"/>
      <c r="AV48" s="391"/>
      <c r="AW48" s="391"/>
      <c r="AX48" s="391"/>
      <c r="AY48" s="391"/>
      <c r="AZ48" s="391"/>
      <c r="BA48" s="391"/>
      <c r="BB48" s="9">
        <v>326664</v>
      </c>
      <c r="BC48" s="9">
        <v>339818</v>
      </c>
      <c r="BD48" s="9">
        <v>3000</v>
      </c>
      <c r="BE48" s="9">
        <f t="shared" si="1"/>
        <v>13154</v>
      </c>
      <c r="BF48" s="3">
        <v>65.87</v>
      </c>
      <c r="BG48" s="3">
        <v>1.1000000000000001</v>
      </c>
      <c r="BH48" s="3">
        <f t="shared" si="2"/>
        <v>72.457000000000008</v>
      </c>
      <c r="BI48" s="3">
        <v>73.37</v>
      </c>
      <c r="BJ48" s="3">
        <v>1.1000000000000001</v>
      </c>
      <c r="BK48" s="3">
        <f t="shared" si="3"/>
        <v>80.707000000000008</v>
      </c>
      <c r="BL48" s="3">
        <v>57</v>
      </c>
      <c r="BM48" s="3">
        <v>227.98</v>
      </c>
      <c r="BN48" s="3">
        <f>+Shepparton!F38-Shepparton!C38</f>
        <v>341980</v>
      </c>
      <c r="BO48" s="3">
        <f t="shared" si="0"/>
        <v>1500</v>
      </c>
      <c r="BQ48" s="8"/>
      <c r="BS48" s="6"/>
      <c r="BT48" s="6"/>
    </row>
    <row r="49" spans="1:72">
      <c r="A49" s="3" t="s">
        <v>40</v>
      </c>
      <c r="B49" s="391">
        <v>195.4</v>
      </c>
      <c r="C49" s="391">
        <v>38.46</v>
      </c>
      <c r="D49" s="391">
        <v>12.31</v>
      </c>
      <c r="E49" s="391">
        <v>0</v>
      </c>
      <c r="F49" s="391"/>
      <c r="G49" s="391"/>
      <c r="H49" s="391">
        <v>2</v>
      </c>
      <c r="I49" s="391"/>
      <c r="J49" s="391">
        <v>6.7240000000000002</v>
      </c>
      <c r="K49" s="391">
        <v>55.85</v>
      </c>
      <c r="L49" s="391">
        <v>21.45</v>
      </c>
      <c r="M49" s="391">
        <v>12.6</v>
      </c>
      <c r="N49" s="391">
        <v>57.82</v>
      </c>
      <c r="O49" s="391">
        <v>77.150000000000006</v>
      </c>
      <c r="P49" s="391">
        <v>2.8</v>
      </c>
      <c r="Q49" s="391">
        <v>1.9</v>
      </c>
      <c r="R49" s="391">
        <v>1.9</v>
      </c>
      <c r="S49" s="391">
        <v>2.7</v>
      </c>
      <c r="T49" s="391">
        <v>0.9</v>
      </c>
      <c r="U49" s="391">
        <v>1</v>
      </c>
      <c r="V49" s="391">
        <v>0.9</v>
      </c>
      <c r="W49" s="391">
        <v>1</v>
      </c>
      <c r="X49" s="391">
        <v>0</v>
      </c>
      <c r="Y49" s="391">
        <v>0</v>
      </c>
      <c r="Z49" s="391">
        <v>1.2</v>
      </c>
      <c r="AA49" s="391"/>
      <c r="AB49" s="391"/>
      <c r="AC49" s="391"/>
      <c r="AD49" s="391"/>
      <c r="AE49" s="391"/>
      <c r="AF49" s="391"/>
      <c r="AG49" s="391"/>
      <c r="AH49" s="391"/>
      <c r="AI49" s="391"/>
      <c r="AJ49" s="391"/>
      <c r="AK49" s="391"/>
      <c r="AL49" s="391"/>
      <c r="AM49" s="391"/>
      <c r="AN49" s="391"/>
      <c r="AO49" s="391"/>
      <c r="AP49" s="391"/>
      <c r="AQ49" s="391"/>
      <c r="AR49" s="391"/>
      <c r="AS49" s="391"/>
      <c r="AT49" s="391"/>
      <c r="AU49" s="391"/>
      <c r="AV49" s="391"/>
      <c r="AW49" s="391"/>
      <c r="AX49" s="391"/>
      <c r="AY49" s="391"/>
      <c r="AZ49" s="391"/>
      <c r="BA49" s="391"/>
      <c r="BB49" s="9">
        <v>342124</v>
      </c>
      <c r="BC49" s="9">
        <v>355281</v>
      </c>
      <c r="BD49" s="9">
        <v>4000</v>
      </c>
      <c r="BE49" s="9">
        <f t="shared" si="1"/>
        <v>13157</v>
      </c>
      <c r="BF49" s="3">
        <v>77.67</v>
      </c>
      <c r="BG49" s="3">
        <v>1.1000000000000001</v>
      </c>
      <c r="BH49" s="3">
        <f t="shared" si="2"/>
        <v>85.437000000000012</v>
      </c>
      <c r="BI49" s="3">
        <v>80</v>
      </c>
      <c r="BJ49" s="3">
        <v>1.1000000000000001</v>
      </c>
      <c r="BK49" s="3">
        <f t="shared" si="3"/>
        <v>88</v>
      </c>
      <c r="BL49" s="3">
        <v>60</v>
      </c>
      <c r="BM49" s="3">
        <v>246.12</v>
      </c>
      <c r="BN49" s="3">
        <f>+Shepparton!F39-Shepparton!C39</f>
        <v>360215</v>
      </c>
      <c r="BO49" s="3">
        <f t="shared" si="0"/>
        <v>1464</v>
      </c>
      <c r="BQ49" s="8"/>
      <c r="BS49" s="6"/>
      <c r="BT49" s="6"/>
    </row>
    <row r="50" spans="1:72">
      <c r="A50" s="3" t="s">
        <v>41</v>
      </c>
      <c r="B50" s="391">
        <v>231.6</v>
      </c>
      <c r="C50" s="391">
        <v>38.46</v>
      </c>
      <c r="D50" s="391">
        <v>12.31</v>
      </c>
      <c r="E50" s="391">
        <v>0</v>
      </c>
      <c r="F50" s="391"/>
      <c r="G50" s="391"/>
      <c r="H50" s="391">
        <v>2</v>
      </c>
      <c r="I50" s="391"/>
      <c r="J50" s="391">
        <v>6.73</v>
      </c>
      <c r="K50" s="391">
        <v>56.63</v>
      </c>
      <c r="L50" s="391">
        <v>21.440999999999999</v>
      </c>
      <c r="M50" s="391">
        <v>14.882</v>
      </c>
      <c r="N50" s="391">
        <v>63.82</v>
      </c>
      <c r="O50" s="391">
        <v>98.55</v>
      </c>
      <c r="P50" s="391">
        <v>2.8</v>
      </c>
      <c r="Q50" s="391">
        <v>1.9</v>
      </c>
      <c r="R50" s="391">
        <v>1.9</v>
      </c>
      <c r="S50" s="391">
        <v>2.7</v>
      </c>
      <c r="T50" s="391">
        <v>0.9</v>
      </c>
      <c r="U50" s="391">
        <v>1</v>
      </c>
      <c r="V50" s="391">
        <v>0.9</v>
      </c>
      <c r="W50" s="391">
        <v>1</v>
      </c>
      <c r="X50" s="391">
        <v>0</v>
      </c>
      <c r="Y50" s="391">
        <v>0</v>
      </c>
      <c r="Z50" s="391">
        <v>1.2</v>
      </c>
      <c r="AA50" s="391"/>
      <c r="AB50" s="391"/>
      <c r="AC50" s="391"/>
      <c r="AD50" s="391"/>
      <c r="AE50" s="391"/>
      <c r="AF50" s="391"/>
      <c r="AG50" s="391"/>
      <c r="AH50" s="391"/>
      <c r="AI50" s="391"/>
      <c r="AJ50" s="391"/>
      <c r="AK50" s="391"/>
      <c r="AL50" s="391"/>
      <c r="AM50" s="391"/>
      <c r="AN50" s="391"/>
      <c r="AO50" s="391"/>
      <c r="AP50" s="391"/>
      <c r="AQ50" s="391"/>
      <c r="AR50" s="391"/>
      <c r="AS50" s="391"/>
      <c r="AT50" s="391"/>
      <c r="AU50" s="391"/>
      <c r="AV50" s="391"/>
      <c r="AW50" s="391"/>
      <c r="AX50" s="391"/>
      <c r="AY50" s="391"/>
      <c r="AZ50" s="391"/>
      <c r="BA50" s="391"/>
      <c r="BB50" s="9">
        <v>372059</v>
      </c>
      <c r="BC50" s="9">
        <v>385270</v>
      </c>
      <c r="BD50" s="9">
        <v>4000</v>
      </c>
      <c r="BE50" s="9">
        <f t="shared" si="1"/>
        <v>13211</v>
      </c>
      <c r="BF50" s="3">
        <v>73</v>
      </c>
      <c r="BG50" s="3">
        <v>1.1000000000000001</v>
      </c>
      <c r="BH50" s="3">
        <f t="shared" si="2"/>
        <v>80.300000000000011</v>
      </c>
      <c r="BI50" s="3">
        <v>113.49</v>
      </c>
      <c r="BJ50" s="3">
        <v>1.1000000000000001</v>
      </c>
      <c r="BK50" s="3">
        <f t="shared" si="3"/>
        <v>124.839</v>
      </c>
      <c r="BL50" s="3">
        <v>65</v>
      </c>
      <c r="BM50" s="3">
        <v>282.32</v>
      </c>
      <c r="BN50" s="3">
        <f>+Shepparton!F40-Shepparton!C40</f>
        <v>391830</v>
      </c>
      <c r="BO50" s="3">
        <f t="shared" si="0"/>
        <v>1388</v>
      </c>
      <c r="BQ50" s="8"/>
      <c r="BS50" s="6"/>
      <c r="BT50" s="6"/>
    </row>
    <row r="51" spans="1:72">
      <c r="A51" s="3" t="s">
        <v>42</v>
      </c>
      <c r="B51" s="391">
        <v>150</v>
      </c>
      <c r="C51" s="391">
        <v>38.630000000000003</v>
      </c>
      <c r="D51" s="391">
        <v>1.17</v>
      </c>
      <c r="E51" s="391">
        <v>17.03</v>
      </c>
      <c r="F51" s="391"/>
      <c r="G51" s="391"/>
      <c r="H51" s="391">
        <v>0</v>
      </c>
      <c r="I51" s="391"/>
      <c r="J51" s="391">
        <v>8.56</v>
      </c>
      <c r="K51" s="391">
        <v>39.36</v>
      </c>
      <c r="L51" s="391">
        <v>11.43</v>
      </c>
      <c r="M51" s="391">
        <v>15.7</v>
      </c>
      <c r="N51" s="391">
        <v>56.58</v>
      </c>
      <c r="O51" s="391">
        <v>60</v>
      </c>
      <c r="P51" s="391">
        <v>4.8</v>
      </c>
      <c r="Q51" s="391">
        <v>2.88</v>
      </c>
      <c r="R51" s="391">
        <v>2.88</v>
      </c>
      <c r="S51" s="391">
        <v>2.7</v>
      </c>
      <c r="T51" s="391">
        <v>0.9</v>
      </c>
      <c r="U51" s="391">
        <v>1</v>
      </c>
      <c r="V51" s="391">
        <v>0.9</v>
      </c>
      <c r="W51" s="391">
        <v>1</v>
      </c>
      <c r="X51" s="391">
        <v>0.9</v>
      </c>
      <c r="Y51" s="391">
        <v>1</v>
      </c>
      <c r="Z51" s="391">
        <v>1.2</v>
      </c>
      <c r="AA51" s="391"/>
      <c r="AB51" s="391"/>
      <c r="AC51" s="391"/>
      <c r="AD51" s="391"/>
      <c r="AE51" s="391"/>
      <c r="AF51" s="391"/>
      <c r="AG51" s="391"/>
      <c r="AH51" s="391"/>
      <c r="AI51" s="391"/>
      <c r="AJ51" s="391"/>
      <c r="AK51" s="391"/>
      <c r="AL51" s="391"/>
      <c r="AM51" s="391"/>
      <c r="AN51" s="391"/>
      <c r="AO51" s="391"/>
      <c r="AP51" s="391"/>
      <c r="AQ51" s="391"/>
      <c r="AR51" s="391"/>
      <c r="AS51" s="391"/>
      <c r="AT51" s="391"/>
      <c r="AU51" s="391"/>
      <c r="AV51" s="391"/>
      <c r="AW51" s="391"/>
      <c r="AX51" s="391"/>
      <c r="AY51" s="391"/>
      <c r="AZ51" s="391"/>
      <c r="BA51" s="391"/>
      <c r="BB51" s="9">
        <v>312042</v>
      </c>
      <c r="BC51" s="9">
        <v>325231</v>
      </c>
      <c r="BD51" s="9">
        <v>3000</v>
      </c>
      <c r="BE51" s="9">
        <f t="shared" si="1"/>
        <v>13189</v>
      </c>
      <c r="BF51" s="3">
        <v>59.14</v>
      </c>
      <c r="BG51" s="3">
        <v>1.1000000000000001</v>
      </c>
      <c r="BH51" s="3">
        <f t="shared" si="2"/>
        <v>65.054000000000002</v>
      </c>
      <c r="BI51" s="3">
        <v>48.71</v>
      </c>
      <c r="BJ51" s="3">
        <v>1.1000000000000001</v>
      </c>
      <c r="BK51" s="3">
        <f t="shared" si="3"/>
        <v>53.581000000000003</v>
      </c>
      <c r="BL51" s="3">
        <v>64</v>
      </c>
      <c r="BM51" s="3">
        <v>206.75</v>
      </c>
      <c r="BN51" s="3">
        <f>+Shepparton!F51-Shepparton!C51</f>
        <v>324970</v>
      </c>
      <c r="BO51" s="3">
        <f t="shared" si="0"/>
        <v>1572</v>
      </c>
      <c r="BQ51" s="8"/>
      <c r="BS51" s="6"/>
      <c r="BT51" s="6"/>
    </row>
    <row r="52" spans="1:72">
      <c r="A52" s="3" t="s">
        <v>43</v>
      </c>
      <c r="B52" s="391">
        <v>154.68</v>
      </c>
      <c r="C52" s="391">
        <v>38.619999999999997</v>
      </c>
      <c r="D52" s="391">
        <v>1.51</v>
      </c>
      <c r="E52" s="391">
        <v>17.54</v>
      </c>
      <c r="F52" s="391"/>
      <c r="G52" s="391"/>
      <c r="H52" s="391">
        <v>0</v>
      </c>
      <c r="I52" s="391"/>
      <c r="J52" s="391">
        <v>9.32</v>
      </c>
      <c r="K52" s="391">
        <v>40.24</v>
      </c>
      <c r="L52" s="391">
        <v>11.52</v>
      </c>
      <c r="M52" s="391">
        <v>15.37</v>
      </c>
      <c r="N52" s="391">
        <v>57.14</v>
      </c>
      <c r="O52" s="391">
        <v>58.6</v>
      </c>
      <c r="P52" s="391">
        <v>4.8</v>
      </c>
      <c r="Q52" s="391">
        <v>2.88</v>
      </c>
      <c r="R52" s="391">
        <v>2.88</v>
      </c>
      <c r="S52" s="391">
        <v>2.7</v>
      </c>
      <c r="T52" s="391">
        <v>0.9</v>
      </c>
      <c r="U52" s="391">
        <v>1</v>
      </c>
      <c r="V52" s="391">
        <v>0.9</v>
      </c>
      <c r="W52" s="391">
        <v>1</v>
      </c>
      <c r="X52" s="392">
        <v>0.95</v>
      </c>
      <c r="Y52" s="391">
        <v>1</v>
      </c>
      <c r="Z52" s="391">
        <v>1.2</v>
      </c>
      <c r="AA52" s="391"/>
      <c r="AB52" s="391"/>
      <c r="AC52" s="391"/>
      <c r="AD52" s="391"/>
      <c r="AE52" s="391"/>
      <c r="AF52" s="391"/>
      <c r="AG52" s="391"/>
      <c r="AH52" s="391"/>
      <c r="AI52" s="391"/>
      <c r="AJ52" s="391"/>
      <c r="AK52" s="391"/>
      <c r="AL52" s="391"/>
      <c r="AM52" s="391"/>
      <c r="AN52" s="391"/>
      <c r="AO52" s="391"/>
      <c r="AP52" s="391"/>
      <c r="AQ52" s="391"/>
      <c r="AR52" s="391"/>
      <c r="AS52" s="391"/>
      <c r="AT52" s="391"/>
      <c r="AU52" s="391"/>
      <c r="AV52" s="391"/>
      <c r="AW52" s="391"/>
      <c r="AX52" s="391"/>
      <c r="AY52" s="391"/>
      <c r="AZ52" s="391"/>
      <c r="BA52" s="391"/>
      <c r="BB52" s="9">
        <v>315108</v>
      </c>
      <c r="BC52" s="9">
        <v>328247</v>
      </c>
      <c r="BD52" s="9">
        <v>3000</v>
      </c>
      <c r="BE52" s="9">
        <f t="shared" si="1"/>
        <v>13139</v>
      </c>
      <c r="BF52" s="3">
        <v>58.33</v>
      </c>
      <c r="BG52" s="3">
        <v>1.1000000000000001</v>
      </c>
      <c r="BH52" s="3">
        <f t="shared" si="2"/>
        <v>64.162999999999997</v>
      </c>
      <c r="BI52" s="3">
        <v>54.06</v>
      </c>
      <c r="BJ52" s="3">
        <v>1.1000000000000001</v>
      </c>
      <c r="BK52" s="3">
        <f t="shared" si="3"/>
        <v>59.466000000000008</v>
      </c>
      <c r="BL52" s="3">
        <v>64</v>
      </c>
      <c r="BM52" s="3">
        <v>212.33</v>
      </c>
      <c r="BN52" s="3">
        <f>+Shepparton!F52-Shepparton!C52</f>
        <v>328290</v>
      </c>
      <c r="BO52" s="3">
        <f t="shared" si="0"/>
        <v>1546</v>
      </c>
      <c r="BQ52" s="8"/>
      <c r="BS52" s="6"/>
      <c r="BT52" s="6"/>
    </row>
    <row r="53" spans="1:72">
      <c r="A53" s="3" t="s">
        <v>44</v>
      </c>
      <c r="B53" s="391">
        <v>172.48</v>
      </c>
      <c r="C53" s="391">
        <v>38.619999999999997</v>
      </c>
      <c r="D53" s="391">
        <v>1.17</v>
      </c>
      <c r="E53" s="391">
        <v>18.14</v>
      </c>
      <c r="F53" s="391"/>
      <c r="G53" s="391"/>
      <c r="H53" s="391">
        <v>0</v>
      </c>
      <c r="I53" s="391"/>
      <c r="J53" s="391">
        <v>8.61</v>
      </c>
      <c r="K53" s="391">
        <v>36.084000000000003</v>
      </c>
      <c r="L53" s="391">
        <v>8.1530000000000005</v>
      </c>
      <c r="M53" s="391">
        <v>15.65</v>
      </c>
      <c r="N53" s="391">
        <v>56.58</v>
      </c>
      <c r="O53" s="391">
        <v>70.5</v>
      </c>
      <c r="P53" s="391">
        <v>4.8</v>
      </c>
      <c r="Q53" s="391">
        <v>2.88</v>
      </c>
      <c r="R53" s="391">
        <v>2.88</v>
      </c>
      <c r="S53" s="391">
        <v>2.7</v>
      </c>
      <c r="T53" s="391">
        <v>0.9</v>
      </c>
      <c r="U53" s="391">
        <v>1</v>
      </c>
      <c r="V53" s="391">
        <v>0.9</v>
      </c>
      <c r="W53" s="391">
        <v>1</v>
      </c>
      <c r="X53" s="391">
        <v>0.9</v>
      </c>
      <c r="Y53" s="391">
        <v>1</v>
      </c>
      <c r="Z53" s="391">
        <v>1.2</v>
      </c>
      <c r="AA53" s="391"/>
      <c r="AB53" s="391"/>
      <c r="AC53" s="391"/>
      <c r="AD53" s="391"/>
      <c r="AE53" s="391"/>
      <c r="AF53" s="391"/>
      <c r="AG53" s="391"/>
      <c r="AH53" s="391"/>
      <c r="AI53" s="391"/>
      <c r="AJ53" s="391"/>
      <c r="AK53" s="391"/>
      <c r="AL53" s="391"/>
      <c r="AM53" s="391"/>
      <c r="AN53" s="391"/>
      <c r="AO53" s="391"/>
      <c r="AP53" s="391"/>
      <c r="AQ53" s="391"/>
      <c r="AR53" s="391"/>
      <c r="AS53" s="391"/>
      <c r="AT53" s="391"/>
      <c r="AU53" s="391"/>
      <c r="AV53" s="391"/>
      <c r="AW53" s="391"/>
      <c r="AX53" s="391"/>
      <c r="AY53" s="391"/>
      <c r="AZ53" s="391"/>
      <c r="BA53" s="391"/>
      <c r="BB53" s="9">
        <v>326222</v>
      </c>
      <c r="BC53" s="9">
        <v>339412</v>
      </c>
      <c r="BD53" s="9">
        <v>3000</v>
      </c>
      <c r="BE53" s="9">
        <f t="shared" si="1"/>
        <v>13190</v>
      </c>
      <c r="BF53" s="3">
        <v>60.91</v>
      </c>
      <c r="BG53" s="3">
        <v>1.1000000000000001</v>
      </c>
      <c r="BH53" s="3">
        <f t="shared" si="2"/>
        <v>67.001000000000005</v>
      </c>
      <c r="BI53" s="3">
        <v>70.39</v>
      </c>
      <c r="BJ53" s="3">
        <v>1.1000000000000001</v>
      </c>
      <c r="BK53" s="3">
        <f t="shared" si="3"/>
        <v>77.429000000000002</v>
      </c>
      <c r="BL53" s="3">
        <v>64</v>
      </c>
      <c r="BM53" s="3">
        <v>230.39</v>
      </c>
      <c r="BN53" s="3">
        <f>+Shepparton!F53-Shepparton!C53</f>
        <v>340785</v>
      </c>
      <c r="BO53" s="3">
        <f t="shared" si="0"/>
        <v>1479</v>
      </c>
      <c r="BQ53" s="8"/>
      <c r="BS53" s="6"/>
      <c r="BT53" s="6"/>
    </row>
    <row r="54" spans="1:72">
      <c r="A54" s="3" t="s">
        <v>45</v>
      </c>
      <c r="B54" s="391">
        <v>177.88</v>
      </c>
      <c r="C54" s="391">
        <v>38.619999999999997</v>
      </c>
      <c r="D54" s="391">
        <v>1.51</v>
      </c>
      <c r="E54" s="391">
        <v>18.68</v>
      </c>
      <c r="F54" s="391"/>
      <c r="G54" s="391"/>
      <c r="H54" s="391">
        <v>0</v>
      </c>
      <c r="I54" s="391"/>
      <c r="J54" s="391">
        <v>9.31</v>
      </c>
      <c r="K54" s="391">
        <v>36.880000000000003</v>
      </c>
      <c r="L54" s="391">
        <v>8.1530000000000005</v>
      </c>
      <c r="M54" s="391">
        <v>15.37</v>
      </c>
      <c r="N54" s="391">
        <v>57.14</v>
      </c>
      <c r="O54" s="391">
        <v>68.099999999999994</v>
      </c>
      <c r="P54" s="391">
        <v>4.8</v>
      </c>
      <c r="Q54" s="391">
        <v>2.88</v>
      </c>
      <c r="R54" s="391">
        <v>2.88</v>
      </c>
      <c r="S54" s="391">
        <v>2.7</v>
      </c>
      <c r="T54" s="391">
        <v>0.9</v>
      </c>
      <c r="U54" s="391">
        <v>1</v>
      </c>
      <c r="V54" s="391">
        <v>0.9</v>
      </c>
      <c r="W54" s="391">
        <v>1</v>
      </c>
      <c r="X54" s="391">
        <v>0.9</v>
      </c>
      <c r="Y54" s="391">
        <v>1</v>
      </c>
      <c r="Z54" s="391">
        <v>1.2</v>
      </c>
      <c r="AA54" s="391"/>
      <c r="AB54" s="391"/>
      <c r="AC54" s="391"/>
      <c r="AD54" s="391"/>
      <c r="AE54" s="391"/>
      <c r="AF54" s="391"/>
      <c r="AG54" s="391"/>
      <c r="AH54" s="391"/>
      <c r="AI54" s="391"/>
      <c r="AJ54" s="391"/>
      <c r="AK54" s="391"/>
      <c r="AL54" s="391"/>
      <c r="AM54" s="391"/>
      <c r="AN54" s="391"/>
      <c r="AO54" s="391"/>
      <c r="AP54" s="391"/>
      <c r="AQ54" s="391"/>
      <c r="AR54" s="391"/>
      <c r="AS54" s="391"/>
      <c r="AT54" s="391"/>
      <c r="AU54" s="391"/>
      <c r="AV54" s="391"/>
      <c r="AW54" s="391"/>
      <c r="AX54" s="391"/>
      <c r="AY54" s="391"/>
      <c r="AZ54" s="391"/>
      <c r="BA54" s="391"/>
      <c r="BB54" s="9">
        <v>329246</v>
      </c>
      <c r="BC54" s="9">
        <v>342418</v>
      </c>
      <c r="BD54" s="9">
        <v>4000</v>
      </c>
      <c r="BE54" s="9">
        <f t="shared" si="1"/>
        <v>13172</v>
      </c>
      <c r="BF54" s="3">
        <v>60.32</v>
      </c>
      <c r="BG54" s="3">
        <v>1.1000000000000001</v>
      </c>
      <c r="BH54" s="3">
        <f t="shared" si="2"/>
        <v>66.352000000000004</v>
      </c>
      <c r="BI54" s="3">
        <v>76.19</v>
      </c>
      <c r="BJ54" s="3">
        <v>1.1000000000000001</v>
      </c>
      <c r="BK54" s="3">
        <f t="shared" si="3"/>
        <v>83.808999999999997</v>
      </c>
      <c r="BL54" s="3">
        <v>64</v>
      </c>
      <c r="BM54" s="3">
        <v>236.67</v>
      </c>
      <c r="BN54" s="3">
        <f>+Shepparton!F54-Shepparton!C54</f>
        <v>345115</v>
      </c>
      <c r="BO54" s="3">
        <f t="shared" si="0"/>
        <v>1458</v>
      </c>
      <c r="BQ54" s="8"/>
      <c r="BS54" s="6"/>
      <c r="BT54" s="6"/>
    </row>
    <row r="55" spans="1:72">
      <c r="A55" s="3" t="s">
        <v>46</v>
      </c>
      <c r="B55" s="391">
        <v>209.57</v>
      </c>
      <c r="C55" s="391">
        <v>39.369999999999997</v>
      </c>
      <c r="D55" s="391">
        <v>1.85</v>
      </c>
      <c r="E55" s="391">
        <v>24.82</v>
      </c>
      <c r="F55" s="391"/>
      <c r="G55" s="391"/>
      <c r="H55" s="391">
        <v>0</v>
      </c>
      <c r="I55" s="391"/>
      <c r="J55" s="391">
        <v>11.56</v>
      </c>
      <c r="K55" s="391">
        <v>59.18</v>
      </c>
      <c r="L55" s="391">
        <v>26.5</v>
      </c>
      <c r="M55" s="391">
        <v>16.75</v>
      </c>
      <c r="N55" s="391">
        <v>61.63</v>
      </c>
      <c r="O55" s="391">
        <v>90.4</v>
      </c>
      <c r="P55" s="391">
        <v>5.05</v>
      </c>
      <c r="Q55" s="391">
        <v>8.34</v>
      </c>
      <c r="R55" s="391">
        <v>5.05</v>
      </c>
      <c r="S55" s="391">
        <v>2.7</v>
      </c>
      <c r="T55" s="391">
        <v>1.8</v>
      </c>
      <c r="U55" s="391">
        <v>2</v>
      </c>
      <c r="V55" s="391">
        <v>0.9</v>
      </c>
      <c r="W55" s="391">
        <v>1</v>
      </c>
      <c r="X55" s="391">
        <v>0</v>
      </c>
      <c r="Y55" s="391">
        <v>0</v>
      </c>
      <c r="Z55" s="391">
        <v>1.2</v>
      </c>
      <c r="AA55" s="391"/>
      <c r="AB55" s="391"/>
      <c r="AC55" s="391"/>
      <c r="AD55" s="391"/>
      <c r="AE55" s="391"/>
      <c r="AF55" s="391"/>
      <c r="AG55" s="391"/>
      <c r="AH55" s="391"/>
      <c r="AI55" s="391"/>
      <c r="AJ55" s="391"/>
      <c r="AK55" s="391"/>
      <c r="AL55" s="391"/>
      <c r="AM55" s="391"/>
      <c r="AN55" s="391"/>
      <c r="AO55" s="391"/>
      <c r="AP55" s="391"/>
      <c r="AQ55" s="391"/>
      <c r="AR55" s="391"/>
      <c r="AS55" s="391"/>
      <c r="AT55" s="391"/>
      <c r="AU55" s="391"/>
      <c r="AV55" s="391"/>
      <c r="AW55" s="391"/>
      <c r="AX55" s="391"/>
      <c r="AY55" s="391"/>
      <c r="AZ55" s="391"/>
      <c r="BA55" s="391"/>
      <c r="BB55" s="9">
        <v>372749</v>
      </c>
      <c r="BC55" s="9">
        <v>385922</v>
      </c>
      <c r="BD55" s="9">
        <v>4000</v>
      </c>
      <c r="BE55" s="9">
        <f t="shared" si="1"/>
        <v>13173</v>
      </c>
      <c r="BF55" s="3">
        <v>79.680000000000007</v>
      </c>
      <c r="BG55" s="3">
        <v>1.1000000000000001</v>
      </c>
      <c r="BH55" s="3">
        <f t="shared" si="2"/>
        <v>87.64800000000001</v>
      </c>
      <c r="BI55" s="3">
        <v>81.55</v>
      </c>
      <c r="BJ55" s="3">
        <v>1.1000000000000001</v>
      </c>
      <c r="BK55" s="3">
        <f t="shared" si="3"/>
        <v>89.704999999999998</v>
      </c>
      <c r="BL55" s="3">
        <v>64</v>
      </c>
      <c r="BM55" s="3">
        <v>275.58999999999997</v>
      </c>
      <c r="BN55" s="3">
        <f>+Shepparton!F55-Shepparton!C55</f>
        <v>391165</v>
      </c>
      <c r="BO55" s="3">
        <f t="shared" si="0"/>
        <v>1419</v>
      </c>
      <c r="BQ55" s="8"/>
      <c r="BS55" s="6"/>
      <c r="BT55" s="6"/>
    </row>
    <row r="56" spans="1:72">
      <c r="A56" s="3" t="s">
        <v>47</v>
      </c>
      <c r="B56" s="391">
        <v>166.76</v>
      </c>
      <c r="C56" s="391">
        <v>38.79</v>
      </c>
      <c r="D56" s="391">
        <v>3.12</v>
      </c>
      <c r="E56" s="391">
        <v>11.81</v>
      </c>
      <c r="F56" s="391"/>
      <c r="G56" s="391"/>
      <c r="H56" s="391">
        <v>0</v>
      </c>
      <c r="I56" s="391"/>
      <c r="J56" s="391">
        <v>15.46</v>
      </c>
      <c r="K56" s="391">
        <v>44.606999999999999</v>
      </c>
      <c r="L56" s="391">
        <v>8.1609999999999996</v>
      </c>
      <c r="M56" s="391">
        <v>8.08</v>
      </c>
      <c r="N56" s="391">
        <v>60.89</v>
      </c>
      <c r="O56" s="391">
        <v>69.150000000000006</v>
      </c>
      <c r="P56" s="391">
        <v>3.84</v>
      </c>
      <c r="Q56" s="391">
        <v>2</v>
      </c>
      <c r="R56" s="391">
        <v>2</v>
      </c>
      <c r="S56" s="391">
        <v>2.7</v>
      </c>
      <c r="T56" s="391">
        <v>1.54</v>
      </c>
      <c r="U56" s="391">
        <v>1</v>
      </c>
      <c r="V56" s="391">
        <v>0.9</v>
      </c>
      <c r="W56" s="391">
        <v>1</v>
      </c>
      <c r="X56" s="391">
        <v>0</v>
      </c>
      <c r="Y56" s="391">
        <v>0</v>
      </c>
      <c r="Z56" s="391">
        <v>1.2</v>
      </c>
      <c r="AA56" s="391"/>
      <c r="AB56" s="391"/>
      <c r="AC56" s="391"/>
      <c r="AD56" s="391"/>
      <c r="AE56" s="391"/>
      <c r="AF56" s="391"/>
      <c r="AG56" s="391"/>
      <c r="AH56" s="391"/>
      <c r="AI56" s="391"/>
      <c r="AJ56" s="391"/>
      <c r="AK56" s="391"/>
      <c r="AL56" s="391"/>
      <c r="AM56" s="391"/>
      <c r="AN56" s="391"/>
      <c r="AO56" s="391"/>
      <c r="AP56" s="391"/>
      <c r="AQ56" s="391"/>
      <c r="AR56" s="391"/>
      <c r="AS56" s="391"/>
      <c r="AT56" s="391"/>
      <c r="AU56" s="391"/>
      <c r="AV56" s="391"/>
      <c r="AW56" s="391"/>
      <c r="AX56" s="391"/>
      <c r="AY56" s="391"/>
      <c r="AZ56" s="391"/>
      <c r="BA56" s="391"/>
      <c r="BB56" s="9">
        <v>323411</v>
      </c>
      <c r="BC56" s="9">
        <v>336641</v>
      </c>
      <c r="BD56" s="9">
        <v>4000</v>
      </c>
      <c r="BE56" s="9">
        <f t="shared" si="1"/>
        <v>13230</v>
      </c>
      <c r="BF56" s="3">
        <v>54.92</v>
      </c>
      <c r="BG56" s="3">
        <v>1.1000000000000001</v>
      </c>
      <c r="BH56" s="3">
        <f t="shared" si="2"/>
        <v>60.412000000000006</v>
      </c>
      <c r="BI56" s="3">
        <v>69</v>
      </c>
      <c r="BJ56" s="3">
        <v>1.1000000000000001</v>
      </c>
      <c r="BK56" s="3">
        <f t="shared" si="3"/>
        <v>75.900000000000006</v>
      </c>
      <c r="BL56" s="3">
        <v>55</v>
      </c>
      <c r="BM56" s="3">
        <v>220.55</v>
      </c>
      <c r="BN56" s="3">
        <f>+Shepparton!F56-Shepparton!C56</f>
        <v>338200</v>
      </c>
      <c r="BO56" s="3">
        <f t="shared" si="0"/>
        <v>1533</v>
      </c>
      <c r="BQ56" s="8"/>
      <c r="BS56" s="6"/>
      <c r="BT56" s="6"/>
    </row>
    <row r="57" spans="1:72">
      <c r="A57" s="3" t="s">
        <v>48</v>
      </c>
      <c r="B57" s="391">
        <v>192.23</v>
      </c>
      <c r="C57" s="391">
        <v>38.79</v>
      </c>
      <c r="D57" s="391">
        <v>3.12</v>
      </c>
      <c r="E57" s="391">
        <v>12.07</v>
      </c>
      <c r="F57" s="391"/>
      <c r="G57" s="391"/>
      <c r="H57" s="391">
        <v>0</v>
      </c>
      <c r="I57" s="391"/>
      <c r="J57" s="391">
        <v>15.46</v>
      </c>
      <c r="K57" s="391">
        <v>49.01</v>
      </c>
      <c r="L57" s="391">
        <v>11.978999999999999</v>
      </c>
      <c r="M57" s="391">
        <v>12.27</v>
      </c>
      <c r="N57" s="391">
        <v>69.05</v>
      </c>
      <c r="O57" s="391">
        <v>83</v>
      </c>
      <c r="P57" s="391">
        <v>4.62</v>
      </c>
      <c r="Q57" s="391">
        <v>2.79</v>
      </c>
      <c r="R57" s="391">
        <v>2.79</v>
      </c>
      <c r="S57" s="391">
        <v>2.7</v>
      </c>
      <c r="T57" s="391">
        <v>1.54</v>
      </c>
      <c r="U57" s="391">
        <v>1</v>
      </c>
      <c r="V57" s="391">
        <v>0.9</v>
      </c>
      <c r="W57" s="391">
        <v>1</v>
      </c>
      <c r="X57" s="391">
        <v>0</v>
      </c>
      <c r="Y57" s="391">
        <v>0</v>
      </c>
      <c r="Z57" s="391">
        <v>1.2</v>
      </c>
      <c r="AA57" s="391"/>
      <c r="AB57" s="391"/>
      <c r="AC57" s="391"/>
      <c r="AD57" s="391"/>
      <c r="AE57" s="391"/>
      <c r="AF57" s="391"/>
      <c r="AG57" s="391"/>
      <c r="AH57" s="391"/>
      <c r="AI57" s="391"/>
      <c r="AJ57" s="391"/>
      <c r="AK57" s="391"/>
      <c r="AL57" s="391"/>
      <c r="AM57" s="391"/>
      <c r="AN57" s="391"/>
      <c r="AO57" s="391"/>
      <c r="AP57" s="391"/>
      <c r="AQ57" s="391"/>
      <c r="AR57" s="391"/>
      <c r="AS57" s="391"/>
      <c r="AT57" s="391"/>
      <c r="AU57" s="391"/>
      <c r="AV57" s="391"/>
      <c r="AW57" s="391"/>
      <c r="AX57" s="391"/>
      <c r="AY57" s="391"/>
      <c r="AZ57" s="391"/>
      <c r="BA57" s="391"/>
      <c r="BB57" s="9">
        <v>351878</v>
      </c>
      <c r="BC57" s="9">
        <v>365119</v>
      </c>
      <c r="BD57" s="9">
        <v>4000</v>
      </c>
      <c r="BE57" s="9">
        <f t="shared" si="1"/>
        <v>13241</v>
      </c>
      <c r="BF57" s="3">
        <v>60.15</v>
      </c>
      <c r="BG57" s="3">
        <v>1.1000000000000001</v>
      </c>
      <c r="BH57" s="3">
        <f t="shared" si="2"/>
        <v>66.165000000000006</v>
      </c>
      <c r="BI57" s="3">
        <v>84.7</v>
      </c>
      <c r="BJ57" s="3">
        <v>1.1000000000000001</v>
      </c>
      <c r="BK57" s="3">
        <f t="shared" si="3"/>
        <v>93.170000000000016</v>
      </c>
      <c r="BL57" s="3">
        <v>64</v>
      </c>
      <c r="BM57" s="3">
        <v>246.2</v>
      </c>
      <c r="BN57" s="3">
        <f>+Shepparton!F57-Shepparton!C57</f>
        <v>368290</v>
      </c>
      <c r="BO57" s="3">
        <f t="shared" si="0"/>
        <v>1496</v>
      </c>
      <c r="BQ57" s="8"/>
      <c r="BS57" s="6"/>
      <c r="BT57" s="6"/>
    </row>
    <row r="58" spans="1:72">
      <c r="A58" s="3" t="s">
        <v>49</v>
      </c>
      <c r="B58" s="391">
        <v>207.4</v>
      </c>
      <c r="C58" s="391">
        <v>38.79</v>
      </c>
      <c r="D58" s="391">
        <v>3.12</v>
      </c>
      <c r="E58" s="391">
        <v>12.07</v>
      </c>
      <c r="F58" s="391"/>
      <c r="G58" s="391"/>
      <c r="H58" s="391">
        <v>0</v>
      </c>
      <c r="I58" s="391"/>
      <c r="J58" s="391">
        <v>15.11</v>
      </c>
      <c r="K58" s="391">
        <v>52.533000000000001</v>
      </c>
      <c r="L58" s="391">
        <v>15.506</v>
      </c>
      <c r="M58" s="391">
        <v>15.36</v>
      </c>
      <c r="N58" s="391">
        <v>75.23</v>
      </c>
      <c r="O58" s="391">
        <v>88.55</v>
      </c>
      <c r="P58" s="391">
        <v>4.62</v>
      </c>
      <c r="Q58" s="391">
        <v>2.79</v>
      </c>
      <c r="R58" s="391">
        <v>2.79</v>
      </c>
      <c r="S58" s="391">
        <v>2.7</v>
      </c>
      <c r="T58" s="391">
        <v>1.54</v>
      </c>
      <c r="U58" s="391">
        <v>1</v>
      </c>
      <c r="V58" s="391">
        <v>0.9</v>
      </c>
      <c r="W58" s="391">
        <v>1</v>
      </c>
      <c r="X58" s="391">
        <v>0</v>
      </c>
      <c r="Y58" s="391">
        <v>0</v>
      </c>
      <c r="Z58" s="391">
        <v>1.2</v>
      </c>
      <c r="AA58" s="391"/>
      <c r="AB58" s="391"/>
      <c r="AC58" s="391"/>
      <c r="AD58" s="391"/>
      <c r="AE58" s="391"/>
      <c r="AF58" s="391"/>
      <c r="AG58" s="391"/>
      <c r="AH58" s="391"/>
      <c r="AI58" s="391"/>
      <c r="AJ58" s="391"/>
      <c r="AK58" s="391"/>
      <c r="AL58" s="391"/>
      <c r="AM58" s="391"/>
      <c r="AN58" s="391"/>
      <c r="AO58" s="391"/>
      <c r="AP58" s="391"/>
      <c r="AQ58" s="391"/>
      <c r="AR58" s="391"/>
      <c r="AS58" s="391"/>
      <c r="AT58" s="391"/>
      <c r="AU58" s="391"/>
      <c r="AV58" s="391"/>
      <c r="AW58" s="391"/>
      <c r="AX58" s="391"/>
      <c r="AY58" s="391"/>
      <c r="AZ58" s="391"/>
      <c r="BA58" s="391"/>
      <c r="BB58" s="9">
        <v>367624</v>
      </c>
      <c r="BC58" s="9">
        <v>380824</v>
      </c>
      <c r="BD58" s="9">
        <v>4000</v>
      </c>
      <c r="BE58" s="9">
        <f t="shared" si="1"/>
        <v>13200</v>
      </c>
      <c r="BF58" s="3">
        <v>62.67</v>
      </c>
      <c r="BG58" s="3">
        <v>1.1000000000000001</v>
      </c>
      <c r="BH58" s="3">
        <f t="shared" si="2"/>
        <v>68.937000000000012</v>
      </c>
      <c r="BI58" s="3">
        <v>96.15</v>
      </c>
      <c r="BJ58" s="3">
        <v>1.1000000000000001</v>
      </c>
      <c r="BK58" s="3">
        <f t="shared" si="3"/>
        <v>105.76500000000001</v>
      </c>
      <c r="BL58" s="3">
        <v>70</v>
      </c>
      <c r="BM58" s="3">
        <v>261.3</v>
      </c>
      <c r="BN58" s="3">
        <f>+Shepparton!F58-Shepparton!C58</f>
        <v>385085</v>
      </c>
      <c r="BO58" s="3">
        <f t="shared" si="0"/>
        <v>1474</v>
      </c>
      <c r="BQ58" s="8"/>
      <c r="BS58" s="6"/>
      <c r="BT58" s="6"/>
    </row>
    <row r="59" spans="1:72">
      <c r="A59" s="3" t="s">
        <v>50</v>
      </c>
      <c r="B59" s="391">
        <v>167.63</v>
      </c>
      <c r="C59" s="391">
        <v>41.26</v>
      </c>
      <c r="D59" s="391">
        <v>6.32</v>
      </c>
      <c r="E59" s="391">
        <v>15</v>
      </c>
      <c r="F59" s="391"/>
      <c r="G59" s="391"/>
      <c r="H59" s="391">
        <v>3</v>
      </c>
      <c r="I59" s="391"/>
      <c r="J59" s="391">
        <v>7.54</v>
      </c>
      <c r="K59" s="391">
        <v>42.112000000000002</v>
      </c>
      <c r="L59" s="391">
        <v>9.1310000000000002</v>
      </c>
      <c r="M59" s="391">
        <v>11.26</v>
      </c>
      <c r="N59" s="391">
        <v>51.01</v>
      </c>
      <c r="O59" s="391">
        <v>68</v>
      </c>
      <c r="P59" s="391">
        <v>3.75</v>
      </c>
      <c r="Q59" s="391">
        <v>2.75</v>
      </c>
      <c r="R59" s="391">
        <v>2.75</v>
      </c>
      <c r="S59" s="391">
        <v>2.7</v>
      </c>
      <c r="T59" s="391">
        <v>0.9</v>
      </c>
      <c r="U59" s="391">
        <v>1</v>
      </c>
      <c r="V59" s="391">
        <v>0.9</v>
      </c>
      <c r="W59" s="391">
        <v>1</v>
      </c>
      <c r="X59" s="391">
        <v>0</v>
      </c>
      <c r="Y59" s="391">
        <v>0</v>
      </c>
      <c r="Z59" s="391">
        <v>1.2</v>
      </c>
      <c r="AA59" s="391"/>
      <c r="AB59" s="391"/>
      <c r="AC59" s="391"/>
      <c r="AD59" s="391"/>
      <c r="AE59" s="391"/>
      <c r="AF59" s="391"/>
      <c r="AG59" s="391"/>
      <c r="AH59" s="391"/>
      <c r="AI59" s="391"/>
      <c r="AJ59" s="391"/>
      <c r="AK59" s="391"/>
      <c r="AL59" s="391"/>
      <c r="AM59" s="391"/>
      <c r="AN59" s="391"/>
      <c r="AO59" s="391"/>
      <c r="AP59" s="391"/>
      <c r="AQ59" s="391"/>
      <c r="AR59" s="391"/>
      <c r="AS59" s="391"/>
      <c r="AT59" s="391"/>
      <c r="AU59" s="391"/>
      <c r="AV59" s="391"/>
      <c r="AW59" s="391"/>
      <c r="AX59" s="391"/>
      <c r="AY59" s="391"/>
      <c r="AZ59" s="391"/>
      <c r="BA59" s="391"/>
      <c r="BB59" s="9">
        <v>321632</v>
      </c>
      <c r="BC59" s="9">
        <v>334625</v>
      </c>
      <c r="BD59" s="9">
        <v>3000</v>
      </c>
      <c r="BE59" s="9">
        <f t="shared" si="1"/>
        <v>12993</v>
      </c>
      <c r="BF59" s="3">
        <v>74.569999999999993</v>
      </c>
      <c r="BG59" s="3">
        <v>1.1000000000000001</v>
      </c>
      <c r="BH59" s="3">
        <f t="shared" si="2"/>
        <v>82.027000000000001</v>
      </c>
      <c r="BI59" s="3">
        <v>52.4</v>
      </c>
      <c r="BJ59" s="3">
        <v>1.1000000000000001</v>
      </c>
      <c r="BK59" s="3">
        <f t="shared" si="3"/>
        <v>57.64</v>
      </c>
      <c r="BL59" s="3">
        <v>57</v>
      </c>
      <c r="BM59" s="3">
        <v>230.21</v>
      </c>
      <c r="BN59" s="3">
        <f>+Shepparton!F59-Shepparton!C59</f>
        <v>336550</v>
      </c>
      <c r="BO59" s="3">
        <f t="shared" si="0"/>
        <v>1462</v>
      </c>
      <c r="BQ59" s="8"/>
      <c r="BS59" s="6"/>
      <c r="BT59" s="6"/>
    </row>
    <row r="60" spans="1:72">
      <c r="A60" s="3" t="s">
        <v>51</v>
      </c>
      <c r="B60" s="391">
        <v>202.31</v>
      </c>
      <c r="C60" s="391">
        <v>41.88</v>
      </c>
      <c r="D60" s="391">
        <v>6.81</v>
      </c>
      <c r="E60" s="391">
        <v>23.72</v>
      </c>
      <c r="F60" s="391"/>
      <c r="G60" s="391"/>
      <c r="H60" s="391">
        <v>4</v>
      </c>
      <c r="I60" s="391"/>
      <c r="J60" s="391">
        <v>6.64</v>
      </c>
      <c r="K60" s="391">
        <v>44.88</v>
      </c>
      <c r="L60" s="391">
        <v>20.399999999999999</v>
      </c>
      <c r="M60" s="391">
        <v>20.035</v>
      </c>
      <c r="N60" s="391">
        <v>55.43</v>
      </c>
      <c r="O60" s="391">
        <v>84.35</v>
      </c>
      <c r="P60" s="391">
        <v>3.75</v>
      </c>
      <c r="Q60" s="391">
        <v>2.734</v>
      </c>
      <c r="R60" s="391">
        <v>2.734</v>
      </c>
      <c r="S60" s="391">
        <v>2.7</v>
      </c>
      <c r="T60" s="391">
        <v>0.9</v>
      </c>
      <c r="U60" s="391">
        <v>1</v>
      </c>
      <c r="V60" s="391">
        <v>0.9</v>
      </c>
      <c r="W60" s="391">
        <v>1</v>
      </c>
      <c r="X60" s="392">
        <v>0.82</v>
      </c>
      <c r="Y60" s="391">
        <v>1</v>
      </c>
      <c r="Z60" s="391">
        <v>1.2</v>
      </c>
      <c r="AA60" s="391"/>
      <c r="AB60" s="391"/>
      <c r="AC60" s="391"/>
      <c r="AD60" s="391"/>
      <c r="AE60" s="391"/>
      <c r="AF60" s="391"/>
      <c r="AG60" s="391"/>
      <c r="AH60" s="391"/>
      <c r="AI60" s="391"/>
      <c r="AJ60" s="391"/>
      <c r="AK60" s="391"/>
      <c r="AL60" s="391"/>
      <c r="AM60" s="391"/>
      <c r="AN60" s="391"/>
      <c r="AO60" s="391"/>
      <c r="AP60" s="391"/>
      <c r="AQ60" s="391"/>
      <c r="AR60" s="391"/>
      <c r="AS60" s="391"/>
      <c r="AT60" s="391"/>
      <c r="AU60" s="391"/>
      <c r="AV60" s="391"/>
      <c r="AW60" s="391"/>
      <c r="AX60" s="391"/>
      <c r="AY60" s="391"/>
      <c r="AZ60" s="391"/>
      <c r="BA60" s="391"/>
      <c r="BB60" s="9">
        <v>361749</v>
      </c>
      <c r="BC60" s="9">
        <v>375448</v>
      </c>
      <c r="BD60" s="9">
        <v>4000</v>
      </c>
      <c r="BE60" s="9">
        <f t="shared" si="1"/>
        <v>13699</v>
      </c>
      <c r="BF60" s="3">
        <v>80</v>
      </c>
      <c r="BG60" s="3">
        <v>1.1000000000000001</v>
      </c>
      <c r="BH60" s="3">
        <f t="shared" si="2"/>
        <v>88</v>
      </c>
      <c r="BI60" s="3">
        <v>76.94</v>
      </c>
      <c r="BJ60" s="3">
        <v>1.1000000000000001</v>
      </c>
      <c r="BK60" s="3">
        <f t="shared" si="3"/>
        <v>84.634</v>
      </c>
      <c r="BL60" s="3">
        <v>62</v>
      </c>
      <c r="BM60" s="3">
        <v>274.7</v>
      </c>
      <c r="BN60" s="3">
        <f>+Shepparton!F60-Shepparton!C60</f>
        <v>379895</v>
      </c>
      <c r="BO60" s="3">
        <f t="shared" si="0"/>
        <v>1383</v>
      </c>
      <c r="BQ60" s="8"/>
      <c r="BS60" s="6"/>
      <c r="BT60" s="6"/>
    </row>
    <row r="61" spans="1:72">
      <c r="A61" s="3" t="s">
        <v>52</v>
      </c>
      <c r="B61" s="391">
        <v>231.68</v>
      </c>
      <c r="C61" s="391">
        <v>41.97</v>
      </c>
      <c r="D61" s="391">
        <v>7.2</v>
      </c>
      <c r="E61" s="391">
        <v>39.44</v>
      </c>
      <c r="F61" s="391"/>
      <c r="G61" s="391"/>
      <c r="H61" s="391">
        <v>4</v>
      </c>
      <c r="I61" s="391"/>
      <c r="J61" s="391">
        <v>6.64</v>
      </c>
      <c r="K61" s="391">
        <v>45.222999999999999</v>
      </c>
      <c r="L61" s="391">
        <v>26.302</v>
      </c>
      <c r="M61" s="391">
        <v>24.555</v>
      </c>
      <c r="N61" s="391">
        <v>61.215000000000003</v>
      </c>
      <c r="O61" s="391">
        <v>90.26</v>
      </c>
      <c r="P61" s="391">
        <v>3.8</v>
      </c>
      <c r="Q61" s="391">
        <v>2.8</v>
      </c>
      <c r="R61" s="391">
        <v>2.8</v>
      </c>
      <c r="S61" s="391">
        <v>2.7</v>
      </c>
      <c r="T61" s="391">
        <v>1.8</v>
      </c>
      <c r="U61" s="391">
        <v>2</v>
      </c>
      <c r="V61" s="391">
        <v>0.9</v>
      </c>
      <c r="W61" s="391">
        <v>1</v>
      </c>
      <c r="X61" s="392">
        <v>0.95</v>
      </c>
      <c r="Y61" s="391">
        <v>1</v>
      </c>
      <c r="Z61" s="391">
        <v>1.2</v>
      </c>
      <c r="AA61" s="391"/>
      <c r="AB61" s="391"/>
      <c r="AC61" s="391"/>
      <c r="AD61" s="391"/>
      <c r="AE61" s="391"/>
      <c r="AF61" s="391"/>
      <c r="AG61" s="391"/>
      <c r="AH61" s="391"/>
      <c r="AI61" s="391"/>
      <c r="AJ61" s="391"/>
      <c r="AK61" s="391"/>
      <c r="AL61" s="391"/>
      <c r="AM61" s="391"/>
      <c r="AN61" s="391"/>
      <c r="AO61" s="391"/>
      <c r="AP61" s="391"/>
      <c r="AQ61" s="391"/>
      <c r="AR61" s="391"/>
      <c r="AS61" s="391"/>
      <c r="AT61" s="391"/>
      <c r="AU61" s="391"/>
      <c r="AV61" s="391"/>
      <c r="AW61" s="391"/>
      <c r="AX61" s="391"/>
      <c r="AY61" s="391"/>
      <c r="AZ61" s="391"/>
      <c r="BA61" s="391"/>
      <c r="BB61" s="9">
        <v>393489</v>
      </c>
      <c r="BC61" s="9">
        <v>407049</v>
      </c>
      <c r="BD61" s="9">
        <v>4000</v>
      </c>
      <c r="BE61" s="9">
        <f t="shared" si="1"/>
        <v>13560</v>
      </c>
      <c r="BF61" s="3">
        <v>83.44</v>
      </c>
      <c r="BG61" s="3">
        <v>1.1000000000000001</v>
      </c>
      <c r="BH61" s="3">
        <f t="shared" si="2"/>
        <v>91.784000000000006</v>
      </c>
      <c r="BI61" s="3">
        <v>100.1</v>
      </c>
      <c r="BJ61" s="3">
        <v>1.1000000000000001</v>
      </c>
      <c r="BK61" s="3">
        <f t="shared" si="3"/>
        <v>110.11</v>
      </c>
      <c r="BL61" s="3">
        <v>75</v>
      </c>
      <c r="BM61" s="3">
        <v>320.29000000000002</v>
      </c>
      <c r="BN61" s="3">
        <f>+Shepparton!F61-Shepparton!C61</f>
        <v>413555</v>
      </c>
      <c r="BO61" s="3">
        <f t="shared" si="0"/>
        <v>1291</v>
      </c>
      <c r="BQ61" s="8"/>
      <c r="BS61" s="6"/>
      <c r="BT61" s="6"/>
    </row>
    <row r="62" spans="1:72">
      <c r="A62" s="3" t="s">
        <v>53</v>
      </c>
      <c r="B62" s="391">
        <v>150.9</v>
      </c>
      <c r="C62" s="391">
        <v>24.65</v>
      </c>
      <c r="D62" s="391">
        <v>4.03</v>
      </c>
      <c r="E62" s="391">
        <v>12.08</v>
      </c>
      <c r="F62" s="391"/>
      <c r="G62" s="391"/>
      <c r="H62" s="391">
        <v>2</v>
      </c>
      <c r="I62" s="391"/>
      <c r="J62" s="391">
        <v>6.83</v>
      </c>
      <c r="K62" s="391">
        <v>44.064999999999998</v>
      </c>
      <c r="L62" s="391">
        <v>18.295000000000002</v>
      </c>
      <c r="M62" s="391">
        <v>15.895</v>
      </c>
      <c r="N62" s="391">
        <v>55.14</v>
      </c>
      <c r="O62" s="391">
        <v>65.709999999999994</v>
      </c>
      <c r="P62" s="391">
        <v>4.1399999999999997</v>
      </c>
      <c r="Q62" s="391">
        <v>2.3199999999999998</v>
      </c>
      <c r="R62" s="391">
        <v>2.3199999999999998</v>
      </c>
      <c r="S62" s="391">
        <v>2.7</v>
      </c>
      <c r="T62" s="391">
        <v>1.1000000000000001</v>
      </c>
      <c r="U62" s="391">
        <v>1</v>
      </c>
      <c r="V62" s="391">
        <v>0.9</v>
      </c>
      <c r="W62" s="391">
        <v>1</v>
      </c>
      <c r="X62" s="391">
        <v>0</v>
      </c>
      <c r="Y62" s="391">
        <v>0</v>
      </c>
      <c r="Z62" s="391">
        <v>1.2</v>
      </c>
      <c r="AA62" s="391"/>
      <c r="AB62" s="391"/>
      <c r="AC62" s="391"/>
      <c r="AD62" s="391"/>
      <c r="AE62" s="391"/>
      <c r="AF62" s="391"/>
      <c r="AG62" s="391"/>
      <c r="AH62" s="391"/>
      <c r="AI62" s="391"/>
      <c r="AJ62" s="391"/>
      <c r="AK62" s="391"/>
      <c r="AL62" s="391"/>
      <c r="AM62" s="391"/>
      <c r="AN62" s="391"/>
      <c r="AO62" s="391"/>
      <c r="AP62" s="391"/>
      <c r="AQ62" s="391"/>
      <c r="AR62" s="391"/>
      <c r="AS62" s="391"/>
      <c r="AT62" s="391"/>
      <c r="AU62" s="391"/>
      <c r="AV62" s="391"/>
      <c r="AW62" s="391"/>
      <c r="AX62" s="391"/>
      <c r="AY62" s="391"/>
      <c r="AZ62" s="391"/>
      <c r="BA62" s="391"/>
      <c r="BB62" s="9">
        <v>301071</v>
      </c>
      <c r="BC62" s="9">
        <v>314204</v>
      </c>
      <c r="BD62" s="9">
        <v>3000</v>
      </c>
      <c r="BE62" s="9">
        <f t="shared" si="1"/>
        <v>13133</v>
      </c>
      <c r="BF62" s="3">
        <v>57.48</v>
      </c>
      <c r="BG62" s="3">
        <v>1.1000000000000001</v>
      </c>
      <c r="BH62" s="3">
        <f t="shared" si="2"/>
        <v>63.228000000000002</v>
      </c>
      <c r="BI62" s="3">
        <v>56</v>
      </c>
      <c r="BJ62" s="3">
        <v>1.1000000000000001</v>
      </c>
      <c r="BK62" s="3">
        <f t="shared" si="3"/>
        <v>61.600000000000009</v>
      </c>
      <c r="BL62" s="3">
        <v>58</v>
      </c>
      <c r="BM62" s="3">
        <v>191.76</v>
      </c>
      <c r="BN62" s="3">
        <f>+Shepparton!F62-Shepparton!C62</f>
        <v>314295</v>
      </c>
      <c r="BO62" s="3">
        <f t="shared" si="0"/>
        <v>1639</v>
      </c>
      <c r="BQ62" s="8"/>
      <c r="BS62" s="6"/>
      <c r="BT62" s="6"/>
    </row>
    <row r="63" spans="1:72">
      <c r="A63" s="3" t="s">
        <v>54</v>
      </c>
      <c r="B63" s="391">
        <v>152.94999999999999</v>
      </c>
      <c r="C63" s="391">
        <v>38.61</v>
      </c>
      <c r="D63" s="391">
        <v>4.03</v>
      </c>
      <c r="E63" s="391">
        <v>14.15</v>
      </c>
      <c r="F63" s="391"/>
      <c r="G63" s="391"/>
      <c r="H63" s="391">
        <v>2</v>
      </c>
      <c r="I63" s="391"/>
      <c r="J63" s="391">
        <v>6.33</v>
      </c>
      <c r="K63" s="391">
        <v>45.91</v>
      </c>
      <c r="L63" s="391">
        <v>18.783000000000001</v>
      </c>
      <c r="M63" s="391">
        <v>15.71</v>
      </c>
      <c r="N63" s="391">
        <v>55.29</v>
      </c>
      <c r="O63" s="391">
        <v>52.85</v>
      </c>
      <c r="P63" s="391">
        <v>5.86</v>
      </c>
      <c r="Q63" s="391">
        <v>3.92</v>
      </c>
      <c r="R63" s="391">
        <v>1.96</v>
      </c>
      <c r="S63" s="391">
        <v>2.7</v>
      </c>
      <c r="T63" s="391">
        <v>0.9</v>
      </c>
      <c r="U63" s="391">
        <v>1</v>
      </c>
      <c r="V63" s="391">
        <v>0.9</v>
      </c>
      <c r="W63" s="391">
        <v>1</v>
      </c>
      <c r="X63" s="391">
        <v>0</v>
      </c>
      <c r="Y63" s="391">
        <v>0</v>
      </c>
      <c r="Z63" s="391">
        <v>1.2</v>
      </c>
      <c r="AA63" s="391"/>
      <c r="AB63" s="391"/>
      <c r="AC63" s="391"/>
      <c r="AD63" s="391"/>
      <c r="AE63" s="391"/>
      <c r="AF63" s="391"/>
      <c r="AG63" s="391"/>
      <c r="AH63" s="391"/>
      <c r="AI63" s="391"/>
      <c r="AJ63" s="391"/>
      <c r="AK63" s="391"/>
      <c r="AL63" s="391"/>
      <c r="AM63" s="391"/>
      <c r="AN63" s="391"/>
      <c r="AO63" s="391"/>
      <c r="AP63" s="391"/>
      <c r="AQ63" s="391"/>
      <c r="AR63" s="391"/>
      <c r="AS63" s="391"/>
      <c r="AT63" s="391"/>
      <c r="AU63" s="391"/>
      <c r="AV63" s="391"/>
      <c r="AW63" s="391"/>
      <c r="AX63" s="391"/>
      <c r="AY63" s="391"/>
      <c r="AZ63" s="391"/>
      <c r="BA63" s="391"/>
      <c r="BB63" s="9">
        <v>311906</v>
      </c>
      <c r="BC63" s="9">
        <v>325064</v>
      </c>
      <c r="BD63" s="9">
        <v>3000</v>
      </c>
      <c r="BE63" s="9">
        <f t="shared" si="1"/>
        <v>13158</v>
      </c>
      <c r="BF63" s="3">
        <v>57</v>
      </c>
      <c r="BG63" s="3">
        <v>1.1000000000000001</v>
      </c>
      <c r="BH63" s="3">
        <f t="shared" si="2"/>
        <v>62.7</v>
      </c>
      <c r="BI63" s="3">
        <v>57.05</v>
      </c>
      <c r="BJ63" s="3">
        <v>1.1000000000000001</v>
      </c>
      <c r="BK63" s="3">
        <f t="shared" si="3"/>
        <v>62.755000000000003</v>
      </c>
      <c r="BL63" s="3">
        <v>60</v>
      </c>
      <c r="BM63" s="3">
        <v>209.9</v>
      </c>
      <c r="BN63" s="3">
        <f>+Shepparton!F63-Shepparton!C63</f>
        <v>325140</v>
      </c>
      <c r="BO63" s="3">
        <f t="shared" si="0"/>
        <v>1549</v>
      </c>
      <c r="BQ63" s="8"/>
      <c r="BS63" s="6"/>
      <c r="BT63" s="6"/>
    </row>
    <row r="64" spans="1:72">
      <c r="A64" s="3" t="s">
        <v>55</v>
      </c>
      <c r="B64" s="391">
        <v>169.75</v>
      </c>
      <c r="C64" s="391">
        <v>38.6</v>
      </c>
      <c r="D64" s="391">
        <v>4.03</v>
      </c>
      <c r="E64" s="391">
        <v>14.15</v>
      </c>
      <c r="F64" s="391"/>
      <c r="G64" s="391"/>
      <c r="H64" s="391">
        <v>2</v>
      </c>
      <c r="I64" s="391"/>
      <c r="J64" s="391">
        <v>6.33</v>
      </c>
      <c r="K64" s="391">
        <v>45.908999999999999</v>
      </c>
      <c r="L64" s="391">
        <v>18.783000000000001</v>
      </c>
      <c r="M64" s="391">
        <v>18.29</v>
      </c>
      <c r="N64" s="391">
        <v>59.4</v>
      </c>
      <c r="O64" s="391">
        <v>66.5</v>
      </c>
      <c r="P64" s="391">
        <v>5.86</v>
      </c>
      <c r="Q64" s="391">
        <v>3.92</v>
      </c>
      <c r="R64" s="391">
        <v>1.96</v>
      </c>
      <c r="S64" s="391">
        <v>2.7</v>
      </c>
      <c r="T64" s="391">
        <v>0.9</v>
      </c>
      <c r="U64" s="391">
        <v>1</v>
      </c>
      <c r="V64" s="391">
        <v>0.9</v>
      </c>
      <c r="W64" s="391">
        <v>1</v>
      </c>
      <c r="X64" s="391">
        <v>0</v>
      </c>
      <c r="Y64" s="391">
        <v>0</v>
      </c>
      <c r="Z64" s="391">
        <v>1.2</v>
      </c>
      <c r="AA64" s="391"/>
      <c r="AB64" s="391"/>
      <c r="AC64" s="391"/>
      <c r="AD64" s="391"/>
      <c r="AE64" s="391"/>
      <c r="AF64" s="391"/>
      <c r="AG64" s="391"/>
      <c r="AH64" s="391"/>
      <c r="AI64" s="391"/>
      <c r="AJ64" s="391"/>
      <c r="AK64" s="391"/>
      <c r="AL64" s="391"/>
      <c r="AM64" s="391"/>
      <c r="AN64" s="391"/>
      <c r="AO64" s="391"/>
      <c r="AP64" s="391"/>
      <c r="AQ64" s="391"/>
      <c r="AR64" s="391"/>
      <c r="AS64" s="391"/>
      <c r="AT64" s="391"/>
      <c r="AU64" s="391"/>
      <c r="AV64" s="391"/>
      <c r="AW64" s="391"/>
      <c r="AX64" s="391"/>
      <c r="AY64" s="391"/>
      <c r="AZ64" s="391"/>
      <c r="BA64" s="391"/>
      <c r="BB64" s="9">
        <v>328771</v>
      </c>
      <c r="BC64" s="9">
        <v>342022</v>
      </c>
      <c r="BD64" s="9">
        <v>3000</v>
      </c>
      <c r="BE64" s="9">
        <f t="shared" si="1"/>
        <v>13251</v>
      </c>
      <c r="BF64" s="3">
        <v>68.87</v>
      </c>
      <c r="BG64" s="3">
        <v>1.1000000000000001</v>
      </c>
      <c r="BH64" s="3">
        <f t="shared" si="2"/>
        <v>75.757000000000005</v>
      </c>
      <c r="BI64" s="3">
        <v>63.02</v>
      </c>
      <c r="BJ64" s="3">
        <v>1.1000000000000001</v>
      </c>
      <c r="BK64" s="3">
        <f t="shared" si="3"/>
        <v>69.322000000000003</v>
      </c>
      <c r="BL64" s="3">
        <v>66</v>
      </c>
      <c r="BM64" s="3">
        <v>226.69</v>
      </c>
      <c r="BN64" s="3">
        <f>+Shepparton!F64-Shepparton!C64</f>
        <v>343745</v>
      </c>
      <c r="BO64" s="3">
        <f t="shared" si="0"/>
        <v>1516</v>
      </c>
      <c r="BQ64" s="8"/>
      <c r="BS64" s="6"/>
      <c r="BT64" s="6"/>
    </row>
    <row r="65" spans="1:72">
      <c r="A65" s="3" t="s">
        <v>56</v>
      </c>
      <c r="B65" s="391">
        <v>135.30000000000001</v>
      </c>
      <c r="C65" s="391">
        <v>39.68</v>
      </c>
      <c r="D65" s="391">
        <v>2.93</v>
      </c>
      <c r="E65" s="391">
        <v>12.92</v>
      </c>
      <c r="F65" s="391"/>
      <c r="G65" s="391"/>
      <c r="H65" s="391">
        <v>1</v>
      </c>
      <c r="I65" s="391"/>
      <c r="J65" s="391">
        <v>6.22</v>
      </c>
      <c r="K65" s="391">
        <v>39.799999999999997</v>
      </c>
      <c r="L65" s="391">
        <v>10.4</v>
      </c>
      <c r="M65" s="391">
        <v>10.66</v>
      </c>
      <c r="N65" s="391">
        <v>47.77</v>
      </c>
      <c r="O65" s="391">
        <v>49.5</v>
      </c>
      <c r="P65" s="391">
        <v>4.5</v>
      </c>
      <c r="Q65" s="391">
        <v>2.7</v>
      </c>
      <c r="R65" s="391">
        <v>2.7</v>
      </c>
      <c r="S65" s="391">
        <v>2.7</v>
      </c>
      <c r="T65" s="391">
        <v>0.9</v>
      </c>
      <c r="U65" s="391">
        <v>1</v>
      </c>
      <c r="V65" s="391">
        <v>0.9</v>
      </c>
      <c r="W65" s="391">
        <v>1</v>
      </c>
      <c r="X65" s="391">
        <v>0</v>
      </c>
      <c r="Y65" s="391">
        <v>0</v>
      </c>
      <c r="Z65" s="391">
        <v>1.2</v>
      </c>
      <c r="AA65" s="391"/>
      <c r="AB65" s="391"/>
      <c r="AC65" s="391"/>
      <c r="AD65" s="391"/>
      <c r="AE65" s="391"/>
      <c r="AF65" s="391"/>
      <c r="AG65" s="391"/>
      <c r="AH65" s="391"/>
      <c r="AI65" s="391"/>
      <c r="AJ65" s="391"/>
      <c r="AK65" s="391"/>
      <c r="AL65" s="391"/>
      <c r="AM65" s="391"/>
      <c r="AN65" s="391"/>
      <c r="AO65" s="391"/>
      <c r="AP65" s="391"/>
      <c r="AQ65" s="391"/>
      <c r="AR65" s="391"/>
      <c r="AS65" s="391"/>
      <c r="AT65" s="391"/>
      <c r="AU65" s="391"/>
      <c r="AV65" s="391"/>
      <c r="AW65" s="391"/>
      <c r="AX65" s="391"/>
      <c r="AY65" s="391"/>
      <c r="AZ65" s="391"/>
      <c r="BA65" s="391"/>
      <c r="BB65" s="9">
        <v>290238</v>
      </c>
      <c r="BC65" s="9">
        <v>303468</v>
      </c>
      <c r="BD65" s="9">
        <v>3000</v>
      </c>
      <c r="BE65" s="9">
        <f t="shared" si="1"/>
        <v>13230</v>
      </c>
      <c r="BF65" s="3">
        <v>63.77</v>
      </c>
      <c r="BG65" s="3">
        <v>1.1000000000000001</v>
      </c>
      <c r="BH65" s="3">
        <f t="shared" si="2"/>
        <v>70.147000000000006</v>
      </c>
      <c r="BI65" s="3">
        <v>37.799999999999997</v>
      </c>
      <c r="BJ65" s="3">
        <v>1.1000000000000001</v>
      </c>
      <c r="BK65" s="3">
        <f t="shared" si="3"/>
        <v>41.58</v>
      </c>
      <c r="BL65" s="3">
        <v>54</v>
      </c>
      <c r="BM65" s="3">
        <v>190.76</v>
      </c>
      <c r="BN65" s="3">
        <f>+Shepparton!F65-Shepparton!C65</f>
        <v>302965</v>
      </c>
      <c r="BO65" s="3">
        <f t="shared" si="0"/>
        <v>1588</v>
      </c>
      <c r="BQ65" s="8"/>
      <c r="BS65" s="6"/>
      <c r="BT65" s="6"/>
    </row>
    <row r="66" spans="1:72">
      <c r="A66" s="3" t="s">
        <v>57</v>
      </c>
      <c r="B66" s="391">
        <v>155.68</v>
      </c>
      <c r="C66" s="391">
        <v>39.49</v>
      </c>
      <c r="D66" s="391">
        <v>2.93</v>
      </c>
      <c r="E66" s="391">
        <v>12.88</v>
      </c>
      <c r="F66" s="391"/>
      <c r="G66" s="391"/>
      <c r="H66" s="391">
        <v>2</v>
      </c>
      <c r="I66" s="391"/>
      <c r="J66" s="391">
        <v>6.22</v>
      </c>
      <c r="K66" s="391">
        <v>39.78</v>
      </c>
      <c r="L66" s="391">
        <v>10.4</v>
      </c>
      <c r="M66" s="391">
        <v>12.7</v>
      </c>
      <c r="N66" s="391">
        <v>51.83</v>
      </c>
      <c r="O66" s="391">
        <v>56.9</v>
      </c>
      <c r="P66" s="391">
        <v>4.3</v>
      </c>
      <c r="Q66" s="391">
        <v>3.4</v>
      </c>
      <c r="R66" s="391">
        <v>3.4</v>
      </c>
      <c r="S66" s="391">
        <v>2.7</v>
      </c>
      <c r="T66" s="391">
        <v>0.9</v>
      </c>
      <c r="U66" s="391">
        <v>1</v>
      </c>
      <c r="V66" s="391">
        <v>0.9</v>
      </c>
      <c r="W66" s="391">
        <v>1</v>
      </c>
      <c r="X66" s="391">
        <v>0</v>
      </c>
      <c r="Y66" s="391">
        <v>0</v>
      </c>
      <c r="Z66" s="391">
        <v>1.2</v>
      </c>
      <c r="AA66" s="391"/>
      <c r="AB66" s="391"/>
      <c r="AC66" s="391"/>
      <c r="AD66" s="391"/>
      <c r="AE66" s="391"/>
      <c r="AF66" s="391"/>
      <c r="AG66" s="391"/>
      <c r="AH66" s="391"/>
      <c r="AI66" s="391"/>
      <c r="AJ66" s="391"/>
      <c r="AK66" s="391"/>
      <c r="AL66" s="391"/>
      <c r="AM66" s="391"/>
      <c r="AN66" s="391"/>
      <c r="AO66" s="391"/>
      <c r="AP66" s="391"/>
      <c r="AQ66" s="391"/>
      <c r="AR66" s="391"/>
      <c r="AS66" s="391"/>
      <c r="AT66" s="391"/>
      <c r="AU66" s="391"/>
      <c r="AV66" s="391"/>
      <c r="AW66" s="391"/>
      <c r="AX66" s="391"/>
      <c r="AY66" s="391"/>
      <c r="AZ66" s="391"/>
      <c r="BA66" s="391"/>
      <c r="BB66" s="9">
        <v>310250</v>
      </c>
      <c r="BC66" s="9">
        <v>323490</v>
      </c>
      <c r="BD66" s="9">
        <v>3000</v>
      </c>
      <c r="BE66" s="9">
        <f t="shared" si="1"/>
        <v>13240</v>
      </c>
      <c r="BF66" s="3">
        <v>81.099999999999994</v>
      </c>
      <c r="BG66" s="3">
        <v>1.1000000000000001</v>
      </c>
      <c r="BH66" s="3">
        <f t="shared" si="2"/>
        <v>89.210000000000008</v>
      </c>
      <c r="BI66" s="3">
        <v>37.94</v>
      </c>
      <c r="BJ66" s="3">
        <v>1.1000000000000001</v>
      </c>
      <c r="BK66" s="3">
        <f t="shared" si="3"/>
        <v>41.734000000000002</v>
      </c>
      <c r="BL66" s="3">
        <v>58</v>
      </c>
      <c r="BM66" s="3">
        <v>210.96</v>
      </c>
      <c r="BN66" s="3">
        <f>+Shepparton!F66-Shepparton!C66</f>
        <v>324945</v>
      </c>
      <c r="BO66" s="3">
        <f t="shared" si="0"/>
        <v>1540</v>
      </c>
      <c r="BQ66" s="8"/>
      <c r="BS66" s="6"/>
      <c r="BT66" s="6"/>
    </row>
    <row r="67" spans="1:72">
      <c r="A67" s="3" t="s">
        <v>58</v>
      </c>
      <c r="B67" s="391">
        <v>166.74</v>
      </c>
      <c r="C67" s="391">
        <v>39.76</v>
      </c>
      <c r="D67" s="391">
        <v>2.78</v>
      </c>
      <c r="E67" s="391">
        <v>17.91</v>
      </c>
      <c r="F67" s="391"/>
      <c r="G67" s="391"/>
      <c r="H67" s="391">
        <v>1</v>
      </c>
      <c r="I67" s="391"/>
      <c r="J67" s="391">
        <v>7.02</v>
      </c>
      <c r="K67" s="391">
        <v>37.715000000000003</v>
      </c>
      <c r="L67" s="391">
        <v>8.7729999999999997</v>
      </c>
      <c r="M67" s="391">
        <v>14.46</v>
      </c>
      <c r="N67" s="391">
        <v>55.52</v>
      </c>
      <c r="O67" s="391">
        <v>66.7</v>
      </c>
      <c r="P67" s="391">
        <v>3.4980000000000002</v>
      </c>
      <c r="Q67" s="391">
        <v>2.617</v>
      </c>
      <c r="R67" s="391">
        <v>2.617</v>
      </c>
      <c r="S67" s="391">
        <v>2.7</v>
      </c>
      <c r="T67" s="391">
        <v>0.9</v>
      </c>
      <c r="U67" s="391">
        <v>1</v>
      </c>
      <c r="V67" s="391">
        <v>0.9</v>
      </c>
      <c r="W67" s="391">
        <v>1</v>
      </c>
      <c r="X67" s="391">
        <v>0</v>
      </c>
      <c r="Y67" s="391">
        <v>0</v>
      </c>
      <c r="Z67" s="391">
        <v>1.2</v>
      </c>
      <c r="AA67" s="391"/>
      <c r="AB67" s="391"/>
      <c r="AC67" s="391"/>
      <c r="AD67" s="391"/>
      <c r="AE67" s="391"/>
      <c r="AF67" s="391"/>
      <c r="AG67" s="391"/>
      <c r="AH67" s="391"/>
      <c r="AI67" s="391"/>
      <c r="AJ67" s="391"/>
      <c r="AK67" s="391"/>
      <c r="AL67" s="391"/>
      <c r="AM67" s="391"/>
      <c r="AN67" s="391"/>
      <c r="AO67" s="391"/>
      <c r="AP67" s="391"/>
      <c r="AQ67" s="391"/>
      <c r="AR67" s="391"/>
      <c r="AS67" s="391"/>
      <c r="AT67" s="391"/>
      <c r="AU67" s="391"/>
      <c r="AV67" s="391"/>
      <c r="AW67" s="391"/>
      <c r="AX67" s="391"/>
      <c r="AY67" s="391"/>
      <c r="AZ67" s="391"/>
      <c r="BA67" s="391"/>
      <c r="BB67" s="9">
        <v>323282</v>
      </c>
      <c r="BC67" s="9">
        <v>336534</v>
      </c>
      <c r="BD67" s="9">
        <v>3000</v>
      </c>
      <c r="BE67" s="9">
        <f t="shared" si="1"/>
        <v>13252</v>
      </c>
      <c r="BF67" s="3">
        <v>79.099999999999994</v>
      </c>
      <c r="BG67" s="3">
        <v>1.1000000000000001</v>
      </c>
      <c r="BH67" s="3">
        <f t="shared" si="2"/>
        <v>87.01</v>
      </c>
      <c r="BI67" s="3">
        <v>48.43</v>
      </c>
      <c r="BJ67" s="3">
        <v>1.1000000000000001</v>
      </c>
      <c r="BK67" s="3">
        <f t="shared" si="3"/>
        <v>53.273000000000003</v>
      </c>
      <c r="BL67" s="3">
        <v>62</v>
      </c>
      <c r="BM67" s="3">
        <v>227.43</v>
      </c>
      <c r="BN67" s="3">
        <f>+Shepparton!F67-Shepparton!C67</f>
        <v>338455</v>
      </c>
      <c r="BO67" s="3">
        <f t="shared" si="0"/>
        <v>1488</v>
      </c>
      <c r="BQ67" s="8"/>
      <c r="BS67" s="6"/>
      <c r="BT67" s="6"/>
    </row>
    <row r="68" spans="1:72">
      <c r="A68" s="3" t="s">
        <v>59</v>
      </c>
      <c r="B68" s="391">
        <v>180.13</v>
      </c>
      <c r="C68" s="391">
        <v>39.82</v>
      </c>
      <c r="D68" s="391">
        <v>3.33</v>
      </c>
      <c r="E68" s="391">
        <v>13.59</v>
      </c>
      <c r="F68" s="391"/>
      <c r="G68" s="391"/>
      <c r="H68" s="391">
        <v>2</v>
      </c>
      <c r="I68" s="391"/>
      <c r="J68" s="391">
        <v>6.22</v>
      </c>
      <c r="K68" s="391">
        <v>39.780999999999999</v>
      </c>
      <c r="L68" s="391">
        <v>10.4</v>
      </c>
      <c r="M68" s="391">
        <v>15.45</v>
      </c>
      <c r="N68" s="391">
        <v>57.33</v>
      </c>
      <c r="O68" s="391">
        <v>66.8</v>
      </c>
      <c r="P68" s="391">
        <v>4.3</v>
      </c>
      <c r="Q68" s="391">
        <v>3.38</v>
      </c>
      <c r="R68" s="391">
        <v>3.38</v>
      </c>
      <c r="S68" s="391">
        <v>2.7</v>
      </c>
      <c r="T68" s="391">
        <v>0.9</v>
      </c>
      <c r="U68" s="391">
        <v>1</v>
      </c>
      <c r="V68" s="391">
        <v>0.9</v>
      </c>
      <c r="W68" s="391">
        <v>1</v>
      </c>
      <c r="X68" s="391">
        <v>0</v>
      </c>
      <c r="Y68" s="391">
        <v>0</v>
      </c>
      <c r="Z68" s="391">
        <v>1.2</v>
      </c>
      <c r="AA68" s="391"/>
      <c r="AB68" s="391"/>
      <c r="AC68" s="391"/>
      <c r="AD68" s="391"/>
      <c r="AE68" s="391"/>
      <c r="AF68" s="391"/>
      <c r="AG68" s="391"/>
      <c r="AH68" s="391"/>
      <c r="AI68" s="391"/>
      <c r="AJ68" s="391"/>
      <c r="AK68" s="391"/>
      <c r="AL68" s="391"/>
      <c r="AM68" s="391"/>
      <c r="AN68" s="391"/>
      <c r="AO68" s="391"/>
      <c r="AP68" s="391"/>
      <c r="AQ68" s="391"/>
      <c r="AR68" s="391"/>
      <c r="AS68" s="391"/>
      <c r="AT68" s="391"/>
      <c r="AU68" s="391"/>
      <c r="AV68" s="391"/>
      <c r="AW68" s="391"/>
      <c r="AX68" s="391"/>
      <c r="AY68" s="391"/>
      <c r="AZ68" s="391"/>
      <c r="BA68" s="391"/>
      <c r="BB68" s="9">
        <v>332270</v>
      </c>
      <c r="BC68" s="9">
        <v>345559</v>
      </c>
      <c r="BD68" s="9">
        <v>4000</v>
      </c>
      <c r="BE68" s="9">
        <f t="shared" si="1"/>
        <v>13289</v>
      </c>
      <c r="BF68" s="3">
        <v>78.540000000000006</v>
      </c>
      <c r="BG68" s="3">
        <v>1.1000000000000001</v>
      </c>
      <c r="BH68" s="3">
        <f t="shared" si="2"/>
        <v>86.39400000000002</v>
      </c>
      <c r="BI68" s="3">
        <v>60.52</v>
      </c>
      <c r="BJ68" s="3">
        <v>1.1000000000000001</v>
      </c>
      <c r="BK68" s="3">
        <f t="shared" si="3"/>
        <v>66.572000000000003</v>
      </c>
      <c r="BL68" s="3">
        <v>63</v>
      </c>
      <c r="BM68" s="3">
        <v>236.85</v>
      </c>
      <c r="BN68" s="3">
        <f>+Shepparton!F68-Shepparton!C68</f>
        <v>349165</v>
      </c>
      <c r="BO68" s="3">
        <f t="shared" si="0"/>
        <v>1474</v>
      </c>
      <c r="BQ68" s="8"/>
      <c r="BS68" s="6"/>
      <c r="BT68" s="6"/>
    </row>
    <row r="69" spans="1:72">
      <c r="A69" s="3" t="s">
        <v>60</v>
      </c>
      <c r="B69" s="391">
        <v>210.48</v>
      </c>
      <c r="C69" s="391">
        <v>39.79</v>
      </c>
      <c r="D69" s="391">
        <v>6.4</v>
      </c>
      <c r="E69" s="391">
        <v>24.5</v>
      </c>
      <c r="F69" s="391"/>
      <c r="G69" s="391"/>
      <c r="H69" s="391">
        <v>2</v>
      </c>
      <c r="I69" s="391"/>
      <c r="J69" s="391">
        <v>6.88</v>
      </c>
      <c r="K69" s="391">
        <v>45.692999999999998</v>
      </c>
      <c r="L69" s="391">
        <v>12.064</v>
      </c>
      <c r="M69" s="391">
        <v>15</v>
      </c>
      <c r="N69" s="391">
        <v>61.56</v>
      </c>
      <c r="O69" s="391">
        <v>79.8</v>
      </c>
      <c r="P69" s="391">
        <v>4.51</v>
      </c>
      <c r="Q69" s="391">
        <v>3.6150000000000002</v>
      </c>
      <c r="R69" s="391">
        <v>3.6150000000000002</v>
      </c>
      <c r="S69" s="391">
        <v>2.7</v>
      </c>
      <c r="T69" s="391">
        <v>0.9</v>
      </c>
      <c r="U69" s="391">
        <v>1</v>
      </c>
      <c r="V69" s="391">
        <v>0.9</v>
      </c>
      <c r="W69" s="391">
        <v>1</v>
      </c>
      <c r="X69" s="391">
        <v>0</v>
      </c>
      <c r="Y69" s="391">
        <v>0</v>
      </c>
      <c r="Z69" s="391">
        <v>1.2</v>
      </c>
      <c r="AA69" s="391"/>
      <c r="AB69" s="391"/>
      <c r="AC69" s="391"/>
      <c r="AD69" s="391"/>
      <c r="AE69" s="391"/>
      <c r="AF69" s="391"/>
      <c r="AG69" s="391"/>
      <c r="AH69" s="391"/>
      <c r="AI69" s="391"/>
      <c r="AJ69" s="391"/>
      <c r="AK69" s="391"/>
      <c r="AL69" s="391"/>
      <c r="AM69" s="391"/>
      <c r="AN69" s="391"/>
      <c r="AO69" s="391"/>
      <c r="AP69" s="391"/>
      <c r="AQ69" s="391"/>
      <c r="AR69" s="391"/>
      <c r="AS69" s="391"/>
      <c r="AT69" s="391"/>
      <c r="AU69" s="391"/>
      <c r="AV69" s="391"/>
      <c r="AW69" s="391"/>
      <c r="AX69" s="391"/>
      <c r="AY69" s="391"/>
      <c r="AZ69" s="391"/>
      <c r="BA69" s="391"/>
      <c r="BB69" s="9">
        <v>364339</v>
      </c>
      <c r="BC69" s="9">
        <v>377557</v>
      </c>
      <c r="BD69" s="9">
        <v>4000</v>
      </c>
      <c r="BE69" s="9">
        <f t="shared" si="1"/>
        <v>13218</v>
      </c>
      <c r="BF69" s="3">
        <v>94.48</v>
      </c>
      <c r="BG69" s="3">
        <v>1.1000000000000001</v>
      </c>
      <c r="BH69" s="3">
        <f t="shared" si="2"/>
        <v>103.92800000000001</v>
      </c>
      <c r="BI69" s="3">
        <v>72.31</v>
      </c>
      <c r="BJ69" s="3">
        <v>1.1000000000000001</v>
      </c>
      <c r="BK69" s="3">
        <f t="shared" si="3"/>
        <v>79.541000000000011</v>
      </c>
      <c r="BL69" s="3">
        <v>66</v>
      </c>
      <c r="BM69" s="3">
        <v>281.10000000000002</v>
      </c>
      <c r="BN69" s="3">
        <f>+Shepparton!F69-Shepparton!C69</f>
        <v>383820</v>
      </c>
      <c r="BO69" s="3">
        <f t="shared" si="0"/>
        <v>1365</v>
      </c>
      <c r="BQ69" s="8"/>
      <c r="BS69" s="6"/>
      <c r="BT69" s="6"/>
    </row>
    <row r="70" spans="1:72">
      <c r="A70" s="3" t="s">
        <v>61</v>
      </c>
      <c r="B70" s="391">
        <v>258.81</v>
      </c>
      <c r="C70" s="391">
        <v>38.56</v>
      </c>
      <c r="D70" s="391">
        <v>6.49</v>
      </c>
      <c r="E70" s="391">
        <v>29.5</v>
      </c>
      <c r="F70" s="391"/>
      <c r="G70" s="391"/>
      <c r="H70" s="391">
        <v>3</v>
      </c>
      <c r="I70" s="391"/>
      <c r="J70" s="391">
        <v>10.36</v>
      </c>
      <c r="K70" s="391">
        <v>57.52</v>
      </c>
      <c r="L70" s="391">
        <v>18.233000000000001</v>
      </c>
      <c r="M70" s="391">
        <v>13</v>
      </c>
      <c r="N70" s="391">
        <v>67</v>
      </c>
      <c r="O70" s="391">
        <v>98.85</v>
      </c>
      <c r="P70" s="391">
        <v>4.4000000000000004</v>
      </c>
      <c r="Q70" s="391">
        <v>4.4000000000000004</v>
      </c>
      <c r="R70" s="391">
        <v>4.4000000000000004</v>
      </c>
      <c r="S70" s="391">
        <v>2.7</v>
      </c>
      <c r="T70" s="391">
        <v>1.8</v>
      </c>
      <c r="U70" s="391">
        <v>1</v>
      </c>
      <c r="V70" s="391">
        <v>0.9</v>
      </c>
      <c r="W70" s="391">
        <v>1</v>
      </c>
      <c r="X70" s="391">
        <v>0</v>
      </c>
      <c r="Y70" s="391">
        <v>0</v>
      </c>
      <c r="Z70" s="391">
        <v>1.2</v>
      </c>
      <c r="AA70" s="391"/>
      <c r="AB70" s="391"/>
      <c r="AC70" s="391"/>
      <c r="AD70" s="391"/>
      <c r="AE70" s="391"/>
      <c r="AF70" s="391"/>
      <c r="AG70" s="391"/>
      <c r="AH70" s="391"/>
      <c r="AI70" s="391"/>
      <c r="AJ70" s="391"/>
      <c r="AK70" s="391"/>
      <c r="AL70" s="391"/>
      <c r="AM70" s="391"/>
      <c r="AN70" s="391"/>
      <c r="AO70" s="391"/>
      <c r="AP70" s="391"/>
      <c r="AQ70" s="391"/>
      <c r="AR70" s="391"/>
      <c r="AS70" s="391"/>
      <c r="AT70" s="391"/>
      <c r="AU70" s="391"/>
      <c r="AV70" s="391"/>
      <c r="AW70" s="391"/>
      <c r="AX70" s="391"/>
      <c r="AY70" s="391"/>
      <c r="AZ70" s="391"/>
      <c r="BA70" s="391"/>
      <c r="BB70" s="9">
        <v>409165</v>
      </c>
      <c r="BC70" s="9">
        <v>422416</v>
      </c>
      <c r="BD70" s="9">
        <v>4000</v>
      </c>
      <c r="BE70" s="9">
        <f t="shared" si="1"/>
        <v>13251</v>
      </c>
      <c r="BF70" s="3">
        <v>128.83000000000001</v>
      </c>
      <c r="BG70" s="3">
        <v>1.1000000000000001</v>
      </c>
      <c r="BH70" s="3">
        <f t="shared" si="2"/>
        <v>141.71300000000002</v>
      </c>
      <c r="BI70" s="3">
        <v>84.75</v>
      </c>
      <c r="BJ70" s="3">
        <v>1.1000000000000001</v>
      </c>
      <c r="BK70" s="3">
        <f t="shared" si="3"/>
        <v>93.225000000000009</v>
      </c>
      <c r="BL70" s="3">
        <v>69</v>
      </c>
      <c r="BM70" s="3">
        <v>333.2</v>
      </c>
      <c r="BN70" s="3">
        <f>+Shepparton!F70-Shepparton!C70</f>
        <v>433365</v>
      </c>
      <c r="BO70" s="3">
        <f t="shared" si="0"/>
        <v>1301</v>
      </c>
      <c r="BQ70" s="8"/>
      <c r="BS70" s="6"/>
      <c r="BT70" s="6"/>
    </row>
    <row r="71" spans="1:72">
      <c r="A71" s="3" t="s">
        <v>62</v>
      </c>
      <c r="B71" s="391">
        <v>170.63</v>
      </c>
      <c r="C71" s="391">
        <v>37.869999999999997</v>
      </c>
      <c r="D71" s="391">
        <v>8</v>
      </c>
      <c r="E71" s="391">
        <v>8.1</v>
      </c>
      <c r="F71" s="391"/>
      <c r="G71" s="391"/>
      <c r="H71" s="391">
        <v>2</v>
      </c>
      <c r="I71" s="391"/>
      <c r="J71" s="391">
        <v>6.16</v>
      </c>
      <c r="K71" s="391">
        <v>55.19</v>
      </c>
      <c r="L71" s="391">
        <v>15.536</v>
      </c>
      <c r="M71" s="391">
        <v>4.9400000000000004</v>
      </c>
      <c r="N71" s="391">
        <v>47.27</v>
      </c>
      <c r="O71" s="391">
        <v>73.55</v>
      </c>
      <c r="P71" s="391">
        <v>3</v>
      </c>
      <c r="Q71" s="391">
        <v>3</v>
      </c>
      <c r="R71" s="391">
        <v>3</v>
      </c>
      <c r="S71" s="391">
        <v>3</v>
      </c>
      <c r="T71" s="391">
        <v>1.2</v>
      </c>
      <c r="U71" s="391">
        <v>1</v>
      </c>
      <c r="V71" s="391">
        <v>0.9</v>
      </c>
      <c r="W71" s="391">
        <v>1</v>
      </c>
      <c r="X71" s="391">
        <v>0</v>
      </c>
      <c r="Y71" s="391">
        <v>0</v>
      </c>
      <c r="Z71" s="391">
        <v>1.2</v>
      </c>
      <c r="AA71" s="391"/>
      <c r="AB71" s="391"/>
      <c r="AC71" s="391"/>
      <c r="AD71" s="391"/>
      <c r="AE71" s="391"/>
      <c r="AF71" s="391"/>
      <c r="AG71" s="391"/>
      <c r="AH71" s="391"/>
      <c r="AI71" s="391"/>
      <c r="AJ71" s="391"/>
      <c r="AK71" s="391"/>
      <c r="AL71" s="391"/>
      <c r="AM71" s="391"/>
      <c r="AN71" s="391"/>
      <c r="AO71" s="391"/>
      <c r="AP71" s="391"/>
      <c r="AQ71" s="391"/>
      <c r="AR71" s="391"/>
      <c r="AS71" s="391"/>
      <c r="AT71" s="391"/>
      <c r="AU71" s="391"/>
      <c r="AV71" s="391"/>
      <c r="AW71" s="391"/>
      <c r="AX71" s="391"/>
      <c r="AY71" s="391"/>
      <c r="AZ71" s="391"/>
      <c r="BA71" s="391"/>
      <c r="BB71" s="9">
        <v>319223</v>
      </c>
      <c r="BC71" s="9">
        <v>332420</v>
      </c>
      <c r="BD71" s="9">
        <v>3000</v>
      </c>
      <c r="BE71" s="9">
        <f t="shared" si="1"/>
        <v>13197</v>
      </c>
      <c r="BF71" s="3">
        <v>72.25</v>
      </c>
      <c r="BG71" s="3">
        <v>1.1000000000000001</v>
      </c>
      <c r="BH71" s="3">
        <f t="shared" si="2"/>
        <v>79.475000000000009</v>
      </c>
      <c r="BI71" s="3">
        <v>57.89</v>
      </c>
      <c r="BJ71" s="3">
        <v>1.1000000000000001</v>
      </c>
      <c r="BK71" s="3">
        <f t="shared" si="3"/>
        <v>63.679000000000009</v>
      </c>
      <c r="BL71" s="3">
        <v>51</v>
      </c>
      <c r="BM71" s="3">
        <v>224.53</v>
      </c>
      <c r="BN71" s="3">
        <f>+Shepparton!F71-Shepparton!C71</f>
        <v>334245</v>
      </c>
      <c r="BO71" s="3">
        <f t="shared" si="0"/>
        <v>1489</v>
      </c>
      <c r="BQ71" s="8"/>
      <c r="BS71" s="6"/>
      <c r="BT71" s="6"/>
    </row>
    <row r="72" spans="1:72">
      <c r="A72" s="3" t="s">
        <v>63</v>
      </c>
      <c r="B72" s="391">
        <v>199.74</v>
      </c>
      <c r="C72" s="391">
        <v>38.44</v>
      </c>
      <c r="D72" s="391">
        <v>8.3000000000000007</v>
      </c>
      <c r="E72" s="391">
        <v>30.23</v>
      </c>
      <c r="F72" s="391"/>
      <c r="G72" s="391"/>
      <c r="H72" s="391">
        <v>4</v>
      </c>
      <c r="I72" s="391"/>
      <c r="J72" s="391">
        <v>9.01</v>
      </c>
      <c r="K72" s="391">
        <v>63.67</v>
      </c>
      <c r="L72" s="391">
        <v>24.113</v>
      </c>
      <c r="M72" s="391">
        <v>9.93</v>
      </c>
      <c r="N72" s="391">
        <v>57.25</v>
      </c>
      <c r="O72" s="391">
        <v>85.5</v>
      </c>
      <c r="P72" s="391">
        <v>10.14</v>
      </c>
      <c r="Q72" s="391">
        <v>3.2</v>
      </c>
      <c r="R72" s="391">
        <v>3.2</v>
      </c>
      <c r="S72" s="391">
        <v>3</v>
      </c>
      <c r="T72" s="391">
        <v>2.1</v>
      </c>
      <c r="U72" s="391">
        <v>2</v>
      </c>
      <c r="V72" s="391">
        <v>0.9</v>
      </c>
      <c r="W72" s="391">
        <v>1</v>
      </c>
      <c r="X72" s="391">
        <v>0</v>
      </c>
      <c r="Y72" s="391">
        <v>0</v>
      </c>
      <c r="Z72" s="391">
        <v>1.2</v>
      </c>
      <c r="AA72" s="391"/>
      <c r="AB72" s="391"/>
      <c r="AC72" s="391"/>
      <c r="AD72" s="391"/>
      <c r="AE72" s="391"/>
      <c r="AF72" s="391"/>
      <c r="AG72" s="391"/>
      <c r="AH72" s="391"/>
      <c r="AI72" s="391"/>
      <c r="AJ72" s="391"/>
      <c r="AK72" s="391"/>
      <c r="AL72" s="391"/>
      <c r="AM72" s="391"/>
      <c r="AN72" s="391"/>
      <c r="AO72" s="391"/>
      <c r="AP72" s="391"/>
      <c r="AQ72" s="391"/>
      <c r="AR72" s="391"/>
      <c r="AS72" s="391"/>
      <c r="AT72" s="391"/>
      <c r="AU72" s="391"/>
      <c r="AV72" s="391"/>
      <c r="AW72" s="391"/>
      <c r="AX72" s="391"/>
      <c r="AY72" s="391"/>
      <c r="AZ72" s="391"/>
      <c r="BA72" s="391"/>
      <c r="BB72" s="9">
        <v>366288</v>
      </c>
      <c r="BC72" s="9">
        <v>379533</v>
      </c>
      <c r="BD72" s="9">
        <v>4000</v>
      </c>
      <c r="BE72" s="9">
        <f t="shared" si="1"/>
        <v>13245</v>
      </c>
      <c r="BF72" s="3">
        <v>81.62</v>
      </c>
      <c r="BG72" s="3">
        <v>1.1000000000000001</v>
      </c>
      <c r="BH72" s="3">
        <f t="shared" si="2"/>
        <v>89.782000000000011</v>
      </c>
      <c r="BI72" s="3">
        <v>70.599999999999994</v>
      </c>
      <c r="BJ72" s="3">
        <v>1.1000000000000001</v>
      </c>
      <c r="BK72" s="3">
        <f t="shared" si="3"/>
        <v>77.66</v>
      </c>
      <c r="BL72" s="3">
        <v>58</v>
      </c>
      <c r="BM72" s="3">
        <v>276.57</v>
      </c>
      <c r="BN72" s="3">
        <f>+Shepparton!F72-Shepparton!C72</f>
        <v>384200</v>
      </c>
      <c r="BO72" s="3">
        <f t="shared" si="0"/>
        <v>1389</v>
      </c>
      <c r="BQ72" s="8"/>
      <c r="BS72" s="6"/>
      <c r="BT72" s="6"/>
    </row>
    <row r="73" spans="1:72">
      <c r="A73" s="3" t="s">
        <v>64</v>
      </c>
      <c r="B73" s="391">
        <v>234.52</v>
      </c>
      <c r="C73" s="391">
        <v>38.44</v>
      </c>
      <c r="D73" s="391">
        <v>8.3000000000000007</v>
      </c>
      <c r="E73" s="391">
        <v>30.02</v>
      </c>
      <c r="F73" s="391"/>
      <c r="G73" s="391"/>
      <c r="H73" s="391">
        <v>4</v>
      </c>
      <c r="I73" s="391"/>
      <c r="J73" s="391">
        <v>9.01</v>
      </c>
      <c r="K73" s="391">
        <v>69.41</v>
      </c>
      <c r="L73" s="391">
        <v>24.113</v>
      </c>
      <c r="M73" s="391">
        <v>13.82</v>
      </c>
      <c r="N73" s="391">
        <v>65.03</v>
      </c>
      <c r="O73" s="391">
        <v>95.5</v>
      </c>
      <c r="P73" s="391">
        <v>10.1</v>
      </c>
      <c r="Q73" s="391">
        <v>3.2</v>
      </c>
      <c r="R73" s="391">
        <v>3.2</v>
      </c>
      <c r="S73" s="391">
        <v>3</v>
      </c>
      <c r="T73" s="391">
        <v>2.1</v>
      </c>
      <c r="U73" s="391">
        <v>2</v>
      </c>
      <c r="V73" s="391">
        <v>0.9</v>
      </c>
      <c r="W73" s="391">
        <v>1</v>
      </c>
      <c r="X73" s="391">
        <v>0.9</v>
      </c>
      <c r="Y73" s="391">
        <v>1</v>
      </c>
      <c r="Z73" s="391">
        <v>1.2</v>
      </c>
      <c r="AA73" s="391"/>
      <c r="AB73" s="391"/>
      <c r="AC73" s="391"/>
      <c r="AD73" s="391"/>
      <c r="AE73" s="391"/>
      <c r="AF73" s="391"/>
      <c r="AG73" s="391"/>
      <c r="AH73" s="391"/>
      <c r="AI73" s="391"/>
      <c r="AJ73" s="391"/>
      <c r="AK73" s="391"/>
      <c r="AL73" s="391"/>
      <c r="AM73" s="391"/>
      <c r="AN73" s="391"/>
      <c r="AO73" s="391"/>
      <c r="AP73" s="391"/>
      <c r="AQ73" s="391"/>
      <c r="AR73" s="391"/>
      <c r="AS73" s="391"/>
      <c r="AT73" s="391"/>
      <c r="AU73" s="391"/>
      <c r="AV73" s="391"/>
      <c r="AW73" s="391"/>
      <c r="AX73" s="391"/>
      <c r="AY73" s="391"/>
      <c r="AZ73" s="391"/>
      <c r="BA73" s="391"/>
      <c r="BB73" s="9">
        <v>398320</v>
      </c>
      <c r="BC73" s="9">
        <v>411568</v>
      </c>
      <c r="BD73" s="9">
        <v>4000</v>
      </c>
      <c r="BE73" s="9">
        <f t="shared" si="1"/>
        <v>13248</v>
      </c>
      <c r="BF73" s="3">
        <v>80.19</v>
      </c>
      <c r="BG73" s="3">
        <v>1.1000000000000001</v>
      </c>
      <c r="BH73" s="3">
        <f t="shared" si="2"/>
        <v>88.209000000000003</v>
      </c>
      <c r="BI73" s="3">
        <v>104.8</v>
      </c>
      <c r="BJ73" s="3">
        <v>1.1000000000000001</v>
      </c>
      <c r="BK73" s="3">
        <f t="shared" si="3"/>
        <v>115.28</v>
      </c>
      <c r="BL73" s="3">
        <v>68</v>
      </c>
      <c r="BM73" s="3">
        <v>311.45</v>
      </c>
      <c r="BN73" s="3">
        <f>+Shepparton!F73-Shepparton!C73</f>
        <v>418330</v>
      </c>
      <c r="BO73" s="3">
        <f t="shared" si="0"/>
        <v>1343</v>
      </c>
      <c r="BQ73" s="8"/>
      <c r="BS73" s="6"/>
      <c r="BT73" s="6"/>
    </row>
    <row r="74" spans="1:72">
      <c r="A74" s="3" t="s">
        <v>65</v>
      </c>
      <c r="B74" s="391">
        <v>164.25</v>
      </c>
      <c r="C74" s="391">
        <v>40.090000000000003</v>
      </c>
      <c r="D74" s="391">
        <v>3.95</v>
      </c>
      <c r="E74" s="391">
        <v>18.23</v>
      </c>
      <c r="F74" s="391"/>
      <c r="G74" s="391"/>
      <c r="H74" s="391">
        <v>2</v>
      </c>
      <c r="I74" s="391"/>
      <c r="J74" s="391">
        <v>6.53</v>
      </c>
      <c r="K74" s="391">
        <v>40.4</v>
      </c>
      <c r="L74" s="391">
        <v>11.278</v>
      </c>
      <c r="M74" s="391">
        <v>16.18</v>
      </c>
      <c r="N74" s="391">
        <v>51.11</v>
      </c>
      <c r="O74" s="391">
        <v>69.7</v>
      </c>
      <c r="P74" s="391">
        <v>2.63</v>
      </c>
      <c r="Q74" s="391">
        <v>1.73</v>
      </c>
      <c r="R74" s="391">
        <v>1.73</v>
      </c>
      <c r="S74" s="391">
        <v>2.7</v>
      </c>
      <c r="T74" s="391">
        <v>0.9</v>
      </c>
      <c r="U74" s="391">
        <v>1</v>
      </c>
      <c r="V74" s="391">
        <v>0.9</v>
      </c>
      <c r="W74" s="391">
        <v>1</v>
      </c>
      <c r="X74" s="391">
        <v>0</v>
      </c>
      <c r="Y74" s="391">
        <v>0</v>
      </c>
      <c r="Z74" s="391">
        <v>1.2</v>
      </c>
      <c r="AA74" s="391"/>
      <c r="AB74" s="391"/>
      <c r="AC74" s="391"/>
      <c r="AD74" s="391"/>
      <c r="AE74" s="391"/>
      <c r="AF74" s="391"/>
      <c r="AG74" s="391"/>
      <c r="AH74" s="391"/>
      <c r="AI74" s="391"/>
      <c r="AJ74" s="391"/>
      <c r="AK74" s="391"/>
      <c r="AL74" s="391"/>
      <c r="AM74" s="391"/>
      <c r="AN74" s="391"/>
      <c r="AO74" s="391"/>
      <c r="AP74" s="391"/>
      <c r="AQ74" s="391"/>
      <c r="AR74" s="391"/>
      <c r="AS74" s="391"/>
      <c r="AT74" s="391"/>
      <c r="AU74" s="391"/>
      <c r="AV74" s="391"/>
      <c r="AW74" s="391"/>
      <c r="AX74" s="391"/>
      <c r="AY74" s="391"/>
      <c r="AZ74" s="391"/>
      <c r="BA74" s="391"/>
      <c r="BB74" s="9">
        <v>317884</v>
      </c>
      <c r="BC74" s="9">
        <v>331102</v>
      </c>
      <c r="BD74" s="9">
        <v>3000</v>
      </c>
      <c r="BE74" s="9">
        <f t="shared" si="1"/>
        <v>13218</v>
      </c>
      <c r="BF74" s="3">
        <v>65.540000000000006</v>
      </c>
      <c r="BG74" s="3">
        <v>1.1000000000000001</v>
      </c>
      <c r="BH74" s="3">
        <f t="shared" si="2"/>
        <v>72.094000000000008</v>
      </c>
      <c r="BI74" s="3">
        <v>61.7</v>
      </c>
      <c r="BJ74" s="3">
        <v>1.1000000000000001</v>
      </c>
      <c r="BK74" s="3">
        <f t="shared" si="3"/>
        <v>67.87</v>
      </c>
      <c r="BL74" s="3">
        <v>63</v>
      </c>
      <c r="BM74" s="3">
        <v>226.51</v>
      </c>
      <c r="BN74" s="3">
        <f>+Shepparton!F74-Shepparton!C74</f>
        <v>332395</v>
      </c>
      <c r="BO74" s="3">
        <f t="shared" si="0"/>
        <v>1467</v>
      </c>
      <c r="BQ74" s="8"/>
      <c r="BS74" s="6"/>
      <c r="BT74" s="6"/>
    </row>
    <row r="75" spans="1:72">
      <c r="A75" s="3" t="s">
        <v>66</v>
      </c>
      <c r="B75" s="391">
        <v>173.86</v>
      </c>
      <c r="C75" s="391">
        <v>40.68</v>
      </c>
      <c r="D75" s="391">
        <v>3.95</v>
      </c>
      <c r="E75" s="391">
        <v>8.0299999999999994</v>
      </c>
      <c r="F75" s="391"/>
      <c r="G75" s="391"/>
      <c r="H75" s="391">
        <v>2</v>
      </c>
      <c r="I75" s="391"/>
      <c r="J75" s="391">
        <v>6.53</v>
      </c>
      <c r="K75" s="391">
        <v>40.630000000000003</v>
      </c>
      <c r="L75" s="391">
        <v>11.4</v>
      </c>
      <c r="M75" s="391">
        <v>16.2</v>
      </c>
      <c r="N75" s="391">
        <v>51.02</v>
      </c>
      <c r="O75" s="391">
        <v>76.650000000000006</v>
      </c>
      <c r="P75" s="391">
        <v>2.63</v>
      </c>
      <c r="Q75" s="391">
        <v>1.73</v>
      </c>
      <c r="R75" s="391">
        <v>1.73</v>
      </c>
      <c r="S75" s="391">
        <v>2.7</v>
      </c>
      <c r="T75" s="391">
        <v>0.9</v>
      </c>
      <c r="U75" s="391">
        <v>1</v>
      </c>
      <c r="V75" s="391">
        <v>0.9</v>
      </c>
      <c r="W75" s="391">
        <v>1</v>
      </c>
      <c r="X75" s="391">
        <v>0</v>
      </c>
      <c r="Y75" s="391">
        <v>0</v>
      </c>
      <c r="Z75" s="391">
        <v>1.2</v>
      </c>
      <c r="AA75" s="391"/>
      <c r="AB75" s="391"/>
      <c r="AC75" s="391"/>
      <c r="AD75" s="391"/>
      <c r="AE75" s="391"/>
      <c r="AF75" s="391"/>
      <c r="AG75" s="391"/>
      <c r="AH75" s="391"/>
      <c r="AI75" s="391"/>
      <c r="AJ75" s="391"/>
      <c r="AK75" s="391"/>
      <c r="AL75" s="391"/>
      <c r="AM75" s="391"/>
      <c r="AN75" s="391"/>
      <c r="AO75" s="391"/>
      <c r="AP75" s="391"/>
      <c r="AQ75" s="391"/>
      <c r="AR75" s="391"/>
      <c r="AS75" s="391"/>
      <c r="AT75" s="391"/>
      <c r="AU75" s="391"/>
      <c r="AV75" s="391"/>
      <c r="AW75" s="391"/>
      <c r="AX75" s="391"/>
      <c r="AY75" s="391"/>
      <c r="AZ75" s="391"/>
      <c r="BA75" s="391"/>
      <c r="BB75" s="9">
        <v>321842</v>
      </c>
      <c r="BC75" s="9">
        <v>335075</v>
      </c>
      <c r="BD75" s="9">
        <v>3000</v>
      </c>
      <c r="BE75" s="9">
        <f t="shared" si="1"/>
        <v>13233</v>
      </c>
      <c r="BF75" s="3">
        <v>64.739999999999995</v>
      </c>
      <c r="BG75" s="3">
        <v>1.1000000000000001</v>
      </c>
      <c r="BH75" s="3">
        <f t="shared" si="2"/>
        <v>71.213999999999999</v>
      </c>
      <c r="BI75" s="3">
        <v>73.040000000000006</v>
      </c>
      <c r="BJ75" s="3">
        <v>1.1000000000000001</v>
      </c>
      <c r="BK75" s="3">
        <f t="shared" si="3"/>
        <v>80.344000000000008</v>
      </c>
      <c r="BL75" s="3">
        <v>63</v>
      </c>
      <c r="BM75" s="3">
        <v>226.3</v>
      </c>
      <c r="BN75" s="3">
        <f>+Shepparton!F75-Shepparton!C75</f>
        <v>337015</v>
      </c>
      <c r="BO75" s="3">
        <f t="shared" si="0"/>
        <v>1489</v>
      </c>
      <c r="BQ75" s="8"/>
      <c r="BS75" s="6"/>
      <c r="BT75" s="6"/>
    </row>
    <row r="76" spans="1:72">
      <c r="A76" s="3" t="s">
        <v>67</v>
      </c>
      <c r="B76" s="391">
        <v>185.74</v>
      </c>
      <c r="C76" s="391">
        <v>38.65</v>
      </c>
      <c r="D76" s="391">
        <v>9.5299999999999994</v>
      </c>
      <c r="E76" s="391">
        <v>11.9</v>
      </c>
      <c r="F76" s="391"/>
      <c r="G76" s="391"/>
      <c r="H76" s="391">
        <v>1</v>
      </c>
      <c r="I76" s="391"/>
      <c r="J76" s="391">
        <v>6.53</v>
      </c>
      <c r="K76" s="391">
        <v>55.3</v>
      </c>
      <c r="L76" s="391">
        <v>17.600000000000001</v>
      </c>
      <c r="M76" s="391">
        <v>11.52</v>
      </c>
      <c r="N76" s="391">
        <v>55.59</v>
      </c>
      <c r="O76" s="391">
        <v>76</v>
      </c>
      <c r="P76" s="391">
        <v>3.44</v>
      </c>
      <c r="Q76" s="391">
        <v>2.5350000000000001</v>
      </c>
      <c r="R76" s="391">
        <v>2.5350000000000001</v>
      </c>
      <c r="S76" s="391">
        <v>2.7</v>
      </c>
      <c r="T76" s="391">
        <v>1.2</v>
      </c>
      <c r="U76" s="391">
        <v>1</v>
      </c>
      <c r="V76" s="391">
        <v>0.9</v>
      </c>
      <c r="W76" s="391">
        <v>1</v>
      </c>
      <c r="X76" s="391">
        <v>1.1000000000000001</v>
      </c>
      <c r="Y76" s="391">
        <v>1</v>
      </c>
      <c r="Z76" s="391">
        <v>1.2</v>
      </c>
      <c r="AA76" s="391"/>
      <c r="AB76" s="391"/>
      <c r="AC76" s="391"/>
      <c r="AD76" s="391"/>
      <c r="AE76" s="391"/>
      <c r="AF76" s="391"/>
      <c r="AG76" s="391"/>
      <c r="AH76" s="391"/>
      <c r="AI76" s="391"/>
      <c r="AJ76" s="391"/>
      <c r="AK76" s="391"/>
      <c r="AL76" s="391"/>
      <c r="AM76" s="391"/>
      <c r="AN76" s="391"/>
      <c r="AO76" s="391"/>
      <c r="AP76" s="391"/>
      <c r="AQ76" s="391"/>
      <c r="AR76" s="391"/>
      <c r="AS76" s="391"/>
      <c r="AT76" s="391"/>
      <c r="AU76" s="391"/>
      <c r="AV76" s="391"/>
      <c r="AW76" s="391"/>
      <c r="AX76" s="391"/>
      <c r="AY76" s="391"/>
      <c r="AZ76" s="391"/>
      <c r="BA76" s="391"/>
      <c r="BB76" s="9">
        <v>340267</v>
      </c>
      <c r="BC76" s="9">
        <v>353502</v>
      </c>
      <c r="BD76" s="9">
        <v>4000</v>
      </c>
      <c r="BE76" s="9">
        <f t="shared" si="1"/>
        <v>13235</v>
      </c>
      <c r="BF76" s="3">
        <v>74.53</v>
      </c>
      <c r="BG76" s="3">
        <v>1.1000000000000001</v>
      </c>
      <c r="BH76" s="3">
        <f t="shared" si="2"/>
        <v>81.983000000000004</v>
      </c>
      <c r="BI76" s="3">
        <v>65.97</v>
      </c>
      <c r="BJ76" s="3">
        <v>1.1000000000000001</v>
      </c>
      <c r="BK76" s="3">
        <f t="shared" si="3"/>
        <v>72.567000000000007</v>
      </c>
      <c r="BL76" s="3">
        <v>62</v>
      </c>
      <c r="BM76" s="3">
        <v>244.7</v>
      </c>
      <c r="BN76" s="3">
        <f>+Shepparton!F76-Shepparton!C76</f>
        <v>357070</v>
      </c>
      <c r="BO76" s="3">
        <f t="shared" si="0"/>
        <v>1459</v>
      </c>
      <c r="BQ76" s="8"/>
      <c r="BS76" s="6"/>
      <c r="BT76" s="6"/>
    </row>
    <row r="77" spans="1:72">
      <c r="A77" s="3" t="s">
        <v>68</v>
      </c>
      <c r="B77" s="391">
        <v>201.27</v>
      </c>
      <c r="C77" s="391">
        <v>38.57</v>
      </c>
      <c r="D77" s="391">
        <v>9.5299999999999994</v>
      </c>
      <c r="E77" s="391">
        <v>14.2</v>
      </c>
      <c r="F77" s="391"/>
      <c r="G77" s="391"/>
      <c r="H77" s="391">
        <v>1</v>
      </c>
      <c r="I77" s="391"/>
      <c r="J77" s="391">
        <v>6.53</v>
      </c>
      <c r="K77" s="391">
        <v>59.05</v>
      </c>
      <c r="L77" s="391">
        <v>19.763000000000002</v>
      </c>
      <c r="M77" s="391">
        <v>10.78</v>
      </c>
      <c r="N77" s="391">
        <v>56.96</v>
      </c>
      <c r="O77" s="391">
        <v>88.7</v>
      </c>
      <c r="P77" s="391">
        <v>3.4350000000000001</v>
      </c>
      <c r="Q77" s="391">
        <v>2.5350000000000001</v>
      </c>
      <c r="R77" s="391">
        <v>2.5350000000000001</v>
      </c>
      <c r="S77" s="391">
        <v>2.7</v>
      </c>
      <c r="T77" s="391">
        <v>1.2</v>
      </c>
      <c r="U77" s="391">
        <v>1</v>
      </c>
      <c r="V77" s="391">
        <v>0.9</v>
      </c>
      <c r="W77" s="391">
        <v>1</v>
      </c>
      <c r="X77" s="391">
        <v>1.1000000000000001</v>
      </c>
      <c r="Y77" s="391">
        <v>1</v>
      </c>
      <c r="Z77" s="391">
        <v>1.2</v>
      </c>
      <c r="AA77" s="391"/>
      <c r="AB77" s="391"/>
      <c r="AC77" s="391"/>
      <c r="AD77" s="391"/>
      <c r="AE77" s="391"/>
      <c r="AF77" s="391"/>
      <c r="AG77" s="391"/>
      <c r="AH77" s="391"/>
      <c r="AI77" s="391"/>
      <c r="AJ77" s="391"/>
      <c r="AK77" s="391"/>
      <c r="AL77" s="391"/>
      <c r="AM77" s="391"/>
      <c r="AN77" s="391"/>
      <c r="AO77" s="391"/>
      <c r="AP77" s="391"/>
      <c r="AQ77" s="391"/>
      <c r="AR77" s="391"/>
      <c r="AS77" s="391"/>
      <c r="AT77" s="391"/>
      <c r="AU77" s="391"/>
      <c r="AV77" s="391"/>
      <c r="AW77" s="391"/>
      <c r="AX77" s="391"/>
      <c r="AY77" s="391"/>
      <c r="AZ77" s="391"/>
      <c r="BA77" s="391"/>
      <c r="BB77" s="9">
        <v>353051</v>
      </c>
      <c r="BC77" s="9">
        <v>366301</v>
      </c>
      <c r="BD77" s="9">
        <v>4000</v>
      </c>
      <c r="BE77" s="9">
        <f t="shared" si="1"/>
        <v>13250</v>
      </c>
      <c r="BF77" s="3">
        <v>78.7</v>
      </c>
      <c r="BG77" s="3">
        <v>1.1000000000000001</v>
      </c>
      <c r="BH77" s="3">
        <f t="shared" si="2"/>
        <v>86.570000000000007</v>
      </c>
      <c r="BI77" s="3">
        <v>77.38</v>
      </c>
      <c r="BJ77" s="3">
        <v>1.1000000000000001</v>
      </c>
      <c r="BK77" s="3">
        <f t="shared" si="3"/>
        <v>85.117999999999995</v>
      </c>
      <c r="BL77" s="3">
        <v>63</v>
      </c>
      <c r="BM77" s="3">
        <v>263.5</v>
      </c>
      <c r="BN77" s="3">
        <f>+Shepparton!F77-Shepparton!C77</f>
        <v>371090</v>
      </c>
      <c r="BO77" s="3">
        <f t="shared" si="0"/>
        <v>1408</v>
      </c>
      <c r="BQ77" s="8"/>
      <c r="BS77" s="6"/>
      <c r="BT77" s="6"/>
    </row>
    <row r="78" spans="1:72">
      <c r="A78" s="3" t="s">
        <v>69</v>
      </c>
      <c r="B78" s="391">
        <v>208.67</v>
      </c>
      <c r="C78" s="391">
        <v>38.67</v>
      </c>
      <c r="D78" s="391">
        <v>9.5299999999999994</v>
      </c>
      <c r="E78" s="391">
        <v>26.3</v>
      </c>
      <c r="F78" s="391"/>
      <c r="G78" s="391"/>
      <c r="H78" s="391">
        <v>2</v>
      </c>
      <c r="I78" s="391"/>
      <c r="J78" s="391">
        <v>6.53</v>
      </c>
      <c r="K78" s="391">
        <v>52.865000000000002</v>
      </c>
      <c r="L78" s="391">
        <v>13.6</v>
      </c>
      <c r="M78" s="391">
        <v>11.22</v>
      </c>
      <c r="N78" s="391">
        <v>56.74</v>
      </c>
      <c r="O78" s="391">
        <v>90.85</v>
      </c>
      <c r="P78" s="391">
        <v>3.44</v>
      </c>
      <c r="Q78" s="391">
        <v>2.5350000000000001</v>
      </c>
      <c r="R78" s="391">
        <v>2.5350000000000001</v>
      </c>
      <c r="S78" s="391">
        <v>2.7</v>
      </c>
      <c r="T78" s="391">
        <v>1.2</v>
      </c>
      <c r="U78" s="391">
        <v>1</v>
      </c>
      <c r="V78" s="391">
        <v>0.9</v>
      </c>
      <c r="W78" s="391">
        <v>1</v>
      </c>
      <c r="X78" s="391">
        <v>1.1000000000000001</v>
      </c>
      <c r="Y78" s="391">
        <v>1</v>
      </c>
      <c r="Z78" s="391">
        <v>1.2</v>
      </c>
      <c r="AA78" s="391"/>
      <c r="AB78" s="391"/>
      <c r="AC78" s="391"/>
      <c r="AD78" s="391"/>
      <c r="AE78" s="391"/>
      <c r="AF78" s="391"/>
      <c r="AG78" s="391"/>
      <c r="AH78" s="391"/>
      <c r="AI78" s="391"/>
      <c r="AJ78" s="391"/>
      <c r="AK78" s="391"/>
      <c r="AL78" s="391"/>
      <c r="AM78" s="391"/>
      <c r="AN78" s="391"/>
      <c r="AO78" s="391"/>
      <c r="AP78" s="391"/>
      <c r="AQ78" s="391"/>
      <c r="AR78" s="391"/>
      <c r="AS78" s="391"/>
      <c r="AT78" s="391"/>
      <c r="AU78" s="391"/>
      <c r="AV78" s="391"/>
      <c r="AW78" s="391"/>
      <c r="AX78" s="391"/>
      <c r="AY78" s="391"/>
      <c r="AZ78" s="391"/>
      <c r="BA78" s="391"/>
      <c r="BB78" s="9">
        <v>365653</v>
      </c>
      <c r="BC78" s="9">
        <v>378896</v>
      </c>
      <c r="BD78" s="9">
        <v>4000</v>
      </c>
      <c r="BE78" s="9">
        <f t="shared" si="1"/>
        <v>13243</v>
      </c>
      <c r="BF78" s="3">
        <v>72.34</v>
      </c>
      <c r="BG78" s="3">
        <v>1.1000000000000001</v>
      </c>
      <c r="BH78" s="3">
        <f t="shared" si="2"/>
        <v>79.574000000000012</v>
      </c>
      <c r="BI78" s="3">
        <v>86.36</v>
      </c>
      <c r="BJ78" s="3">
        <v>1.1000000000000001</v>
      </c>
      <c r="BK78" s="3">
        <f t="shared" si="3"/>
        <v>94.996000000000009</v>
      </c>
      <c r="BL78" s="3">
        <v>63</v>
      </c>
      <c r="BM78" s="3">
        <v>283.7</v>
      </c>
      <c r="BN78" s="3">
        <f>+Shepparton!F78-Shepparton!C78</f>
        <v>383560</v>
      </c>
      <c r="BO78" s="3">
        <f t="shared" si="0"/>
        <v>1352</v>
      </c>
      <c r="BQ78" s="8"/>
      <c r="BS78" s="6"/>
      <c r="BT78" s="6"/>
    </row>
    <row r="79" spans="1:72">
      <c r="A79" s="3" t="s">
        <v>70</v>
      </c>
      <c r="B79" s="391">
        <v>205.83</v>
      </c>
      <c r="C79" s="391">
        <v>44.78</v>
      </c>
      <c r="D79" s="391">
        <v>9.0500000000000007</v>
      </c>
      <c r="E79" s="391">
        <v>27.82</v>
      </c>
      <c r="F79" s="391"/>
      <c r="G79" s="391"/>
      <c r="H79" s="391">
        <v>2</v>
      </c>
      <c r="I79" s="391"/>
      <c r="J79" s="391">
        <v>6.41</v>
      </c>
      <c r="K79" s="391">
        <v>57</v>
      </c>
      <c r="L79" s="391">
        <v>17.53</v>
      </c>
      <c r="M79" s="391">
        <v>11.67</v>
      </c>
      <c r="N79" s="391">
        <v>57.7</v>
      </c>
      <c r="O79" s="391">
        <v>57.25</v>
      </c>
      <c r="P79" s="391">
        <v>3.45</v>
      </c>
      <c r="Q79" s="391">
        <v>2.5499999999999998</v>
      </c>
      <c r="R79" s="391">
        <v>2.5499999999999998</v>
      </c>
      <c r="S79" s="391">
        <v>2.7</v>
      </c>
      <c r="T79" s="391">
        <v>2.5099999999999998</v>
      </c>
      <c r="U79" s="391">
        <v>2</v>
      </c>
      <c r="V79" s="391">
        <v>0.9</v>
      </c>
      <c r="W79" s="391">
        <v>1</v>
      </c>
      <c r="X79" s="391">
        <v>1.1000000000000001</v>
      </c>
      <c r="Y79" s="391">
        <v>1</v>
      </c>
      <c r="Z79" s="391">
        <v>1.2</v>
      </c>
      <c r="AA79" s="391"/>
      <c r="AB79" s="391"/>
      <c r="AC79" s="391"/>
      <c r="AD79" s="391"/>
      <c r="AE79" s="391"/>
      <c r="AF79" s="391"/>
      <c r="AG79" s="391"/>
      <c r="AH79" s="391"/>
      <c r="AI79" s="391"/>
      <c r="AJ79" s="391"/>
      <c r="AK79" s="391"/>
      <c r="AL79" s="391"/>
      <c r="AM79" s="391"/>
      <c r="AN79" s="391"/>
      <c r="AO79" s="391"/>
      <c r="AP79" s="391"/>
      <c r="AQ79" s="391"/>
      <c r="AR79" s="391"/>
      <c r="AS79" s="391"/>
      <c r="AT79" s="391"/>
      <c r="AU79" s="391"/>
      <c r="AV79" s="391"/>
      <c r="AW79" s="391"/>
      <c r="AX79" s="391"/>
      <c r="AY79" s="391"/>
      <c r="AZ79" s="391"/>
      <c r="BA79" s="391"/>
      <c r="BB79" s="9">
        <v>370224</v>
      </c>
      <c r="BC79" s="9">
        <v>383469</v>
      </c>
      <c r="BD79" s="9">
        <v>4000</v>
      </c>
      <c r="BE79" s="9">
        <f t="shared" si="1"/>
        <v>13245</v>
      </c>
      <c r="BF79" s="3">
        <v>73.95</v>
      </c>
      <c r="BG79" s="3">
        <v>1.1000000000000001</v>
      </c>
      <c r="BH79" s="3">
        <f t="shared" si="2"/>
        <v>81.345000000000013</v>
      </c>
      <c r="BI79" s="3">
        <v>87.1</v>
      </c>
      <c r="BJ79" s="3">
        <v>1.1000000000000001</v>
      </c>
      <c r="BK79" s="3">
        <f t="shared" si="3"/>
        <v>95.81</v>
      </c>
      <c r="BL79" s="3">
        <v>66</v>
      </c>
      <c r="BM79" s="3">
        <v>287.91000000000003</v>
      </c>
      <c r="BN79" s="3">
        <f>+Shepparton!F79-Shepparton!C79</f>
        <v>388360</v>
      </c>
      <c r="BO79" s="3">
        <f t="shared" si="0"/>
        <v>1349</v>
      </c>
      <c r="BQ79" s="8"/>
      <c r="BS79" s="6"/>
      <c r="BT79" s="6"/>
    </row>
    <row r="80" spans="1:72">
      <c r="A80" s="3" t="s">
        <v>71</v>
      </c>
      <c r="B80" s="391">
        <v>140.81</v>
      </c>
      <c r="C80" s="391">
        <v>38.93</v>
      </c>
      <c r="D80" s="391">
        <v>3.99</v>
      </c>
      <c r="E80" s="391">
        <v>0</v>
      </c>
      <c r="F80" s="391"/>
      <c r="G80" s="391"/>
      <c r="H80" s="391">
        <v>2</v>
      </c>
      <c r="I80" s="391"/>
      <c r="J80" s="391">
        <v>7.58</v>
      </c>
      <c r="K80" s="391">
        <v>36.191000000000003</v>
      </c>
      <c r="L80" s="391">
        <v>9.1509999999999998</v>
      </c>
      <c r="M80" s="391">
        <v>13.06</v>
      </c>
      <c r="N80" s="391">
        <v>44.64</v>
      </c>
      <c r="O80" s="391">
        <v>59.35</v>
      </c>
      <c r="P80" s="391">
        <v>3.56</v>
      </c>
      <c r="Q80" s="391">
        <v>1.72</v>
      </c>
      <c r="R80" s="391">
        <v>1.72</v>
      </c>
      <c r="S80" s="391">
        <v>2.7</v>
      </c>
      <c r="T80" s="391">
        <v>0.9</v>
      </c>
      <c r="U80" s="391">
        <v>1</v>
      </c>
      <c r="V80" s="391">
        <v>0.9</v>
      </c>
      <c r="W80" s="391">
        <v>1</v>
      </c>
      <c r="X80" s="391">
        <v>0</v>
      </c>
      <c r="Y80" s="391">
        <v>0</v>
      </c>
      <c r="Z80" s="391">
        <v>1.2</v>
      </c>
      <c r="AA80" s="391"/>
      <c r="AB80" s="391"/>
      <c r="AC80" s="391"/>
      <c r="AD80" s="391"/>
      <c r="AE80" s="391"/>
      <c r="AF80" s="391"/>
      <c r="AG80" s="391"/>
      <c r="AH80" s="391"/>
      <c r="AI80" s="391"/>
      <c r="AJ80" s="391"/>
      <c r="AK80" s="391"/>
      <c r="AL80" s="391"/>
      <c r="AM80" s="391"/>
      <c r="AN80" s="391"/>
      <c r="AO80" s="391"/>
      <c r="AP80" s="391"/>
      <c r="AQ80" s="391"/>
      <c r="AR80" s="391"/>
      <c r="AS80" s="391"/>
      <c r="AT80" s="391"/>
      <c r="AU80" s="391"/>
      <c r="AV80" s="391"/>
      <c r="AW80" s="391"/>
      <c r="AX80" s="391"/>
      <c r="AY80" s="391"/>
      <c r="AZ80" s="391"/>
      <c r="BA80" s="391"/>
      <c r="BB80" s="9">
        <v>285927</v>
      </c>
      <c r="BC80" s="9">
        <v>299127</v>
      </c>
      <c r="BD80" s="9">
        <v>3000</v>
      </c>
      <c r="BE80" s="9">
        <f t="shared" si="1"/>
        <v>13200</v>
      </c>
      <c r="BF80" s="3">
        <v>54.71</v>
      </c>
      <c r="BG80" s="3">
        <v>1.1000000000000001</v>
      </c>
      <c r="BH80" s="3">
        <f t="shared" si="2"/>
        <v>60.181000000000004</v>
      </c>
      <c r="BI80" s="3">
        <v>57.46</v>
      </c>
      <c r="BJ80" s="3">
        <v>1.1000000000000001</v>
      </c>
      <c r="BK80" s="3">
        <f t="shared" si="3"/>
        <v>63.206000000000003</v>
      </c>
      <c r="BL80" s="3">
        <v>53</v>
      </c>
      <c r="BM80" s="3">
        <v>183.71</v>
      </c>
      <c r="BN80" s="3">
        <f>+Shepparton!F80-Shepparton!C80</f>
        <v>298925</v>
      </c>
      <c r="BO80" s="3">
        <f t="shared" si="0"/>
        <v>1627</v>
      </c>
      <c r="BQ80" s="8"/>
      <c r="BS80" s="6"/>
      <c r="BT80" s="6"/>
    </row>
    <row r="81" spans="1:72">
      <c r="A81" s="3" t="s">
        <v>72</v>
      </c>
      <c r="B81" s="391">
        <v>162.49</v>
      </c>
      <c r="C81" s="391">
        <v>38.93</v>
      </c>
      <c r="D81" s="391">
        <v>3.99</v>
      </c>
      <c r="E81" s="391">
        <v>0</v>
      </c>
      <c r="F81" s="391"/>
      <c r="G81" s="391"/>
      <c r="H81" s="391">
        <v>2</v>
      </c>
      <c r="I81" s="391"/>
      <c r="J81" s="391">
        <v>7.58</v>
      </c>
      <c r="K81" s="391">
        <v>36.191000000000003</v>
      </c>
      <c r="L81" s="391">
        <v>8.5709999999999997</v>
      </c>
      <c r="M81" s="391">
        <v>15.445</v>
      </c>
      <c r="N81" s="391">
        <v>49.27</v>
      </c>
      <c r="O81" s="391">
        <v>71.150000000000006</v>
      </c>
      <c r="P81" s="391">
        <v>3.56</v>
      </c>
      <c r="Q81" s="391">
        <v>1.72</v>
      </c>
      <c r="R81" s="391">
        <v>1.72</v>
      </c>
      <c r="S81" s="391">
        <v>2.7</v>
      </c>
      <c r="T81" s="391">
        <v>0.9</v>
      </c>
      <c r="U81" s="391">
        <v>1</v>
      </c>
      <c r="V81" s="391">
        <v>0.9</v>
      </c>
      <c r="W81" s="391">
        <v>1</v>
      </c>
      <c r="X81" s="391">
        <v>0</v>
      </c>
      <c r="Y81" s="391">
        <v>0</v>
      </c>
      <c r="Z81" s="391">
        <v>1.2</v>
      </c>
      <c r="AA81" s="391"/>
      <c r="AB81" s="391"/>
      <c r="AC81" s="391"/>
      <c r="AD81" s="391"/>
      <c r="AE81" s="391"/>
      <c r="AF81" s="391"/>
      <c r="AG81" s="391"/>
      <c r="AH81" s="391"/>
      <c r="AI81" s="391"/>
      <c r="AJ81" s="391"/>
      <c r="AK81" s="391"/>
      <c r="AL81" s="391"/>
      <c r="AM81" s="391"/>
      <c r="AN81" s="391"/>
      <c r="AO81" s="391"/>
      <c r="AP81" s="391"/>
      <c r="AQ81" s="391"/>
      <c r="AR81" s="391"/>
      <c r="AS81" s="391"/>
      <c r="AT81" s="391"/>
      <c r="AU81" s="391"/>
      <c r="AV81" s="391"/>
      <c r="AW81" s="391"/>
      <c r="AX81" s="391"/>
      <c r="AY81" s="391"/>
      <c r="AZ81" s="391"/>
      <c r="BA81" s="391"/>
      <c r="BB81" s="9">
        <v>303864</v>
      </c>
      <c r="BC81" s="9">
        <v>317076</v>
      </c>
      <c r="BD81" s="9">
        <v>3000</v>
      </c>
      <c r="BE81" s="9">
        <f t="shared" si="1"/>
        <v>13212</v>
      </c>
      <c r="BF81" s="3">
        <v>60</v>
      </c>
      <c r="BG81" s="3">
        <v>1.1000000000000001</v>
      </c>
      <c r="BH81" s="3">
        <f t="shared" si="2"/>
        <v>66</v>
      </c>
      <c r="BI81" s="3">
        <v>67.62</v>
      </c>
      <c r="BJ81" s="3">
        <v>1.1000000000000001</v>
      </c>
      <c r="BK81" s="3">
        <f t="shared" si="3"/>
        <v>74.382000000000005</v>
      </c>
      <c r="BL81" s="3">
        <v>58</v>
      </c>
      <c r="BM81" s="3">
        <v>205.39</v>
      </c>
      <c r="BN81" s="3">
        <f>+Shepparton!F81-Shepparton!C81</f>
        <v>318135</v>
      </c>
      <c r="BO81" s="3">
        <f t="shared" si="0"/>
        <v>1549</v>
      </c>
      <c r="BQ81" s="8"/>
      <c r="BS81" s="6"/>
      <c r="BT81" s="6"/>
    </row>
    <row r="82" spans="1:72">
      <c r="A82" s="3" t="s">
        <v>73</v>
      </c>
      <c r="B82" s="391">
        <v>177.8</v>
      </c>
      <c r="C82" s="391">
        <v>39.81</v>
      </c>
      <c r="D82" s="391">
        <v>3.99</v>
      </c>
      <c r="E82" s="391">
        <v>7.86</v>
      </c>
      <c r="F82" s="391"/>
      <c r="G82" s="391"/>
      <c r="H82" s="391">
        <v>2</v>
      </c>
      <c r="I82" s="391"/>
      <c r="J82" s="391">
        <v>8.0299999999999994</v>
      </c>
      <c r="K82" s="391">
        <v>41</v>
      </c>
      <c r="L82" s="391">
        <v>9.1509999999999998</v>
      </c>
      <c r="M82" s="391">
        <v>12.24</v>
      </c>
      <c r="N82" s="391">
        <v>54.92</v>
      </c>
      <c r="O82" s="391">
        <v>71.849999999999994</v>
      </c>
      <c r="P82" s="391">
        <v>3.56</v>
      </c>
      <c r="Q82" s="391">
        <v>1.72</v>
      </c>
      <c r="R82" s="391">
        <v>1.72</v>
      </c>
      <c r="S82" s="391">
        <v>2.7</v>
      </c>
      <c r="T82" s="391">
        <v>0.9</v>
      </c>
      <c r="U82" s="391">
        <v>1</v>
      </c>
      <c r="V82" s="391">
        <v>0.9</v>
      </c>
      <c r="W82" s="391">
        <v>1</v>
      </c>
      <c r="X82" s="391">
        <v>0</v>
      </c>
      <c r="Y82" s="391">
        <v>0</v>
      </c>
      <c r="Z82" s="391">
        <v>1.2</v>
      </c>
      <c r="AA82" s="391"/>
      <c r="AB82" s="391"/>
      <c r="AC82" s="391"/>
      <c r="AD82" s="391"/>
      <c r="AE82" s="391"/>
      <c r="AF82" s="391"/>
      <c r="AG82" s="391"/>
      <c r="AH82" s="391"/>
      <c r="AI82" s="391"/>
      <c r="AJ82" s="391"/>
      <c r="AK82" s="391"/>
      <c r="AL82" s="391"/>
      <c r="AM82" s="391"/>
      <c r="AN82" s="391"/>
      <c r="AO82" s="391"/>
      <c r="AP82" s="391"/>
      <c r="AQ82" s="391"/>
      <c r="AR82" s="391"/>
      <c r="AS82" s="391"/>
      <c r="AT82" s="391"/>
      <c r="AU82" s="391"/>
      <c r="AV82" s="391"/>
      <c r="AW82" s="391"/>
      <c r="AX82" s="391"/>
      <c r="AY82" s="391"/>
      <c r="AZ82" s="391"/>
      <c r="BA82" s="391"/>
      <c r="BB82" s="9">
        <v>319977</v>
      </c>
      <c r="BC82" s="9">
        <v>333212</v>
      </c>
      <c r="BD82" s="9">
        <v>4000</v>
      </c>
      <c r="BE82" s="9">
        <f t="shared" si="1"/>
        <v>13235</v>
      </c>
      <c r="BF82" s="3">
        <v>65.47</v>
      </c>
      <c r="BG82" s="3">
        <v>1.1000000000000001</v>
      </c>
      <c r="BH82" s="3">
        <f t="shared" si="2"/>
        <v>72.01700000000001</v>
      </c>
      <c r="BI82" s="3">
        <v>75.69</v>
      </c>
      <c r="BJ82" s="3">
        <v>1.1000000000000001</v>
      </c>
      <c r="BK82" s="3">
        <f t="shared" si="3"/>
        <v>83.259</v>
      </c>
      <c r="BL82" s="3">
        <v>58</v>
      </c>
      <c r="BM82" s="3">
        <v>229.46</v>
      </c>
      <c r="BN82" s="3">
        <f>+Shepparton!F82-Shepparton!C82</f>
        <v>336400</v>
      </c>
      <c r="BO82" s="3">
        <f t="shared" si="0"/>
        <v>1466</v>
      </c>
      <c r="BQ82" s="8"/>
      <c r="BS82" s="6"/>
      <c r="BT82" s="6"/>
    </row>
    <row r="83" spans="1:72">
      <c r="A83" s="3" t="s">
        <v>74</v>
      </c>
      <c r="B83" s="391">
        <v>177.11</v>
      </c>
      <c r="C83" s="391">
        <v>41.75</v>
      </c>
      <c r="D83" s="391">
        <v>5.69</v>
      </c>
      <c r="E83" s="391">
        <v>20.03</v>
      </c>
      <c r="F83" s="391"/>
      <c r="G83" s="391"/>
      <c r="H83" s="391">
        <v>2</v>
      </c>
      <c r="I83" s="391"/>
      <c r="J83" s="391">
        <v>7.39</v>
      </c>
      <c r="K83" s="391">
        <v>52.517000000000003</v>
      </c>
      <c r="L83" s="391">
        <v>19.989999999999998</v>
      </c>
      <c r="M83" s="391">
        <v>13.81</v>
      </c>
      <c r="N83" s="391">
        <v>57.77</v>
      </c>
      <c r="O83" s="391">
        <v>73.45</v>
      </c>
      <c r="P83" s="391">
        <v>2.79</v>
      </c>
      <c r="Q83" s="391">
        <v>1.86</v>
      </c>
      <c r="R83" s="391">
        <v>1.86</v>
      </c>
      <c r="S83" s="391">
        <v>2.7</v>
      </c>
      <c r="T83" s="391">
        <v>0.9</v>
      </c>
      <c r="U83" s="391">
        <v>1</v>
      </c>
      <c r="V83" s="391">
        <v>0.9</v>
      </c>
      <c r="W83" s="391">
        <v>1</v>
      </c>
      <c r="X83" s="391">
        <v>0</v>
      </c>
      <c r="Y83" s="391">
        <v>0</v>
      </c>
      <c r="Z83" s="391">
        <v>1.2</v>
      </c>
      <c r="AA83" s="391"/>
      <c r="AB83" s="391"/>
      <c r="AC83" s="391"/>
      <c r="AD83" s="391"/>
      <c r="AE83" s="391"/>
      <c r="AF83" s="391"/>
      <c r="AG83" s="391"/>
      <c r="AH83" s="391"/>
      <c r="AI83" s="391"/>
      <c r="AJ83" s="391"/>
      <c r="AK83" s="391"/>
      <c r="AL83" s="391"/>
      <c r="AM83" s="391"/>
      <c r="AN83" s="391"/>
      <c r="AO83" s="391"/>
      <c r="AP83" s="391"/>
      <c r="AQ83" s="391"/>
      <c r="AR83" s="391"/>
      <c r="AS83" s="391"/>
      <c r="AT83" s="391"/>
      <c r="AU83" s="391"/>
      <c r="AV83" s="391"/>
      <c r="AW83" s="391"/>
      <c r="AX83" s="391"/>
      <c r="AY83" s="391"/>
      <c r="AZ83" s="391"/>
      <c r="BA83" s="391"/>
      <c r="BB83" s="9">
        <v>336030</v>
      </c>
      <c r="BC83" s="9">
        <v>349264</v>
      </c>
      <c r="BD83" s="9">
        <v>4000</v>
      </c>
      <c r="BE83" s="9">
        <f t="shared" si="1"/>
        <v>13234</v>
      </c>
      <c r="BF83" s="3">
        <v>67.13</v>
      </c>
      <c r="BG83" s="3">
        <v>1.1000000000000001</v>
      </c>
      <c r="BH83" s="3">
        <f t="shared" si="2"/>
        <v>73.843000000000004</v>
      </c>
      <c r="BI83" s="3">
        <v>71.180000000000007</v>
      </c>
      <c r="BJ83" s="3">
        <v>1.1000000000000001</v>
      </c>
      <c r="BK83" s="3">
        <f t="shared" si="3"/>
        <v>78.298000000000016</v>
      </c>
      <c r="BL83" s="3">
        <v>62</v>
      </c>
      <c r="BM83" s="3">
        <v>244.56</v>
      </c>
      <c r="BN83" s="3">
        <f>+Shepparton!F83-Shepparton!C83</f>
        <v>352340</v>
      </c>
      <c r="BO83" s="3">
        <f t="shared" si="0"/>
        <v>1441</v>
      </c>
      <c r="BQ83" s="8"/>
      <c r="BS83" s="6"/>
      <c r="BT83" s="6"/>
    </row>
    <row r="85" spans="1:72">
      <c r="A85" s="1" t="s">
        <v>75</v>
      </c>
      <c r="BF85" s="3" t="s">
        <v>10</v>
      </c>
      <c r="BG85" s="3" t="s">
        <v>11</v>
      </c>
      <c r="BI85" s="3" t="s">
        <v>3</v>
      </c>
      <c r="BJ85" s="3" t="s">
        <v>11</v>
      </c>
      <c r="BL85" s="3" t="s">
        <v>4</v>
      </c>
    </row>
    <row r="86" spans="1:72">
      <c r="A86" s="3" t="s">
        <v>76</v>
      </c>
      <c r="B86" s="3">
        <v>164.64</v>
      </c>
      <c r="C86" s="3">
        <v>38.659999999999997</v>
      </c>
      <c r="D86" s="3">
        <v>3.73</v>
      </c>
      <c r="E86" s="3">
        <v>15.3</v>
      </c>
      <c r="H86" s="3">
        <v>3</v>
      </c>
      <c r="J86" s="3">
        <v>14.4</v>
      </c>
      <c r="K86" s="3">
        <v>58.8</v>
      </c>
      <c r="L86" s="3">
        <v>32</v>
      </c>
      <c r="M86" s="3">
        <v>19.8</v>
      </c>
      <c r="N86" s="3">
        <v>51.2</v>
      </c>
      <c r="O86" s="3">
        <v>63.8</v>
      </c>
      <c r="P86" s="3">
        <v>3.8</v>
      </c>
      <c r="Q86" s="3">
        <v>2.7</v>
      </c>
      <c r="R86" s="3">
        <v>2.7</v>
      </c>
      <c r="S86" s="3">
        <v>0</v>
      </c>
      <c r="T86" s="3">
        <v>0.9</v>
      </c>
      <c r="U86" s="3">
        <v>1</v>
      </c>
      <c r="V86" s="3">
        <v>0.9</v>
      </c>
      <c r="W86" s="3">
        <v>1</v>
      </c>
      <c r="X86" s="3">
        <v>0</v>
      </c>
      <c r="Y86" s="3">
        <v>0</v>
      </c>
      <c r="Z86" s="3">
        <v>1.2</v>
      </c>
      <c r="BB86" s="9">
        <v>321256</v>
      </c>
      <c r="BC86" s="9">
        <v>334465</v>
      </c>
      <c r="BD86" s="9">
        <v>3000</v>
      </c>
      <c r="BE86" s="9">
        <f t="shared" ref="BE86:BE107" si="10">+BC86-BB86</f>
        <v>13209</v>
      </c>
      <c r="BF86" s="3">
        <v>61.24</v>
      </c>
      <c r="BG86" s="3">
        <v>1.1000000000000001</v>
      </c>
      <c r="BH86" s="3">
        <f t="shared" ref="BH86:BH107" si="11">+BG86*BF86</f>
        <v>67.364000000000004</v>
      </c>
      <c r="BI86" s="3">
        <v>64.650000000000006</v>
      </c>
      <c r="BJ86" s="3">
        <v>1.1000000000000001</v>
      </c>
      <c r="BK86" s="3">
        <f t="shared" ref="BK86:BK107" si="12">+BJ86*BI86</f>
        <v>71.115000000000009</v>
      </c>
      <c r="BL86" s="3">
        <v>59</v>
      </c>
      <c r="BM86" s="3">
        <v>222.33</v>
      </c>
      <c r="BN86" s="3">
        <f>+Shepparton!F95-Shepparton!C95</f>
        <v>335470</v>
      </c>
      <c r="BO86" s="3">
        <f t="shared" ref="BO86:BO107" si="13">+ROUND(BN86/BM86,)</f>
        <v>1509</v>
      </c>
    </row>
    <row r="87" spans="1:72">
      <c r="A87" s="3" t="s">
        <v>77</v>
      </c>
      <c r="B87" s="3">
        <v>185.85</v>
      </c>
      <c r="C87" s="3">
        <v>38.6</v>
      </c>
      <c r="D87" s="3">
        <v>3.33</v>
      </c>
      <c r="E87" s="3">
        <v>15.75</v>
      </c>
      <c r="H87" s="3">
        <v>2</v>
      </c>
      <c r="J87" s="3">
        <v>11.7</v>
      </c>
      <c r="K87" s="3">
        <v>59.6</v>
      </c>
      <c r="L87" s="3">
        <v>30.9</v>
      </c>
      <c r="M87" s="3">
        <v>22.7</v>
      </c>
      <c r="N87" s="3">
        <v>56.1</v>
      </c>
      <c r="O87" s="3">
        <v>77.099999999999994</v>
      </c>
      <c r="P87" s="3">
        <v>3.8</v>
      </c>
      <c r="Q87" s="3">
        <v>2.7</v>
      </c>
      <c r="R87" s="3">
        <v>2.7</v>
      </c>
      <c r="S87" s="3">
        <v>2.7</v>
      </c>
      <c r="T87" s="3">
        <v>0.9</v>
      </c>
      <c r="U87" s="3">
        <v>1</v>
      </c>
      <c r="V87" s="3">
        <v>0.9</v>
      </c>
      <c r="W87" s="3">
        <v>1</v>
      </c>
      <c r="X87" s="3">
        <v>0</v>
      </c>
      <c r="Y87" s="3">
        <v>0</v>
      </c>
      <c r="Z87" s="393">
        <v>0</v>
      </c>
      <c r="BB87" s="9">
        <v>345313</v>
      </c>
      <c r="BC87" s="9">
        <v>358564</v>
      </c>
      <c r="BD87" s="9">
        <v>4000</v>
      </c>
      <c r="BE87" s="9">
        <f t="shared" si="10"/>
        <v>13251</v>
      </c>
      <c r="BF87" s="3">
        <v>67.2</v>
      </c>
      <c r="BG87" s="3">
        <v>1.1000000000000001</v>
      </c>
      <c r="BH87" s="3">
        <f t="shared" si="11"/>
        <v>73.920000000000016</v>
      </c>
      <c r="BI87" s="3">
        <v>73.900000000000006</v>
      </c>
      <c r="BJ87" s="3">
        <v>1.1000000000000001</v>
      </c>
      <c r="BK87" s="3">
        <f t="shared" si="12"/>
        <v>81.290000000000006</v>
      </c>
      <c r="BL87" s="3">
        <v>68</v>
      </c>
      <c r="BM87" s="3">
        <v>243.53</v>
      </c>
      <c r="BN87" s="3">
        <f>+Shepparton!F96-Shepparton!C96</f>
        <v>361815</v>
      </c>
      <c r="BO87" s="3">
        <f t="shared" si="13"/>
        <v>1486</v>
      </c>
    </row>
    <row r="88" spans="1:72">
      <c r="A88" s="3" t="s">
        <v>78</v>
      </c>
      <c r="B88" s="391">
        <v>203.05</v>
      </c>
      <c r="C88" s="391">
        <v>40.99</v>
      </c>
      <c r="D88" s="391">
        <v>3.34</v>
      </c>
      <c r="E88" s="391">
        <v>24.36</v>
      </c>
      <c r="F88" s="391"/>
      <c r="G88" s="391"/>
      <c r="H88" s="391">
        <v>4</v>
      </c>
      <c r="I88" s="391"/>
      <c r="J88" s="391">
        <v>12.24</v>
      </c>
      <c r="K88" s="391">
        <v>63.076000000000001</v>
      </c>
      <c r="L88" s="391">
        <v>33.325000000000003</v>
      </c>
      <c r="M88" s="391">
        <v>23.26</v>
      </c>
      <c r="N88" s="391">
        <v>60.5</v>
      </c>
      <c r="O88" s="391">
        <v>82.65</v>
      </c>
      <c r="P88" s="391">
        <v>3.74</v>
      </c>
      <c r="Q88" s="391">
        <v>2.74</v>
      </c>
      <c r="R88" s="391">
        <v>2.74</v>
      </c>
      <c r="S88" s="391">
        <v>2.7</v>
      </c>
      <c r="T88" s="391">
        <v>1.6</v>
      </c>
      <c r="U88" s="391">
        <v>2</v>
      </c>
      <c r="V88" s="391">
        <v>0.9</v>
      </c>
      <c r="W88" s="391">
        <v>1</v>
      </c>
      <c r="X88" s="391">
        <v>0</v>
      </c>
      <c r="Y88" s="391">
        <v>0</v>
      </c>
      <c r="Z88" s="391">
        <v>1.2</v>
      </c>
      <c r="AA88" s="391"/>
      <c r="AB88" s="391"/>
      <c r="AC88" s="391"/>
      <c r="AD88" s="391"/>
      <c r="AE88" s="391"/>
      <c r="AF88" s="391"/>
      <c r="AG88" s="391"/>
      <c r="AH88" s="391"/>
      <c r="AI88" s="391"/>
      <c r="AJ88" s="391"/>
      <c r="AK88" s="391"/>
      <c r="AL88" s="391"/>
      <c r="AM88" s="391"/>
      <c r="AN88" s="391"/>
      <c r="AO88" s="391"/>
      <c r="AP88" s="391"/>
      <c r="AQ88" s="391"/>
      <c r="AR88" s="391"/>
      <c r="AS88" s="391"/>
      <c r="AT88" s="391"/>
      <c r="AU88" s="391"/>
      <c r="AV88" s="391"/>
      <c r="AW88" s="391"/>
      <c r="AX88" s="391"/>
      <c r="AY88" s="391"/>
      <c r="AZ88" s="391"/>
      <c r="BA88" s="391"/>
      <c r="BB88" s="9">
        <v>364949</v>
      </c>
      <c r="BC88" s="9">
        <v>378282</v>
      </c>
      <c r="BD88" s="9">
        <v>4000</v>
      </c>
      <c r="BE88" s="9">
        <f t="shared" si="10"/>
        <v>13333</v>
      </c>
      <c r="BF88" s="3">
        <v>76.010000000000005</v>
      </c>
      <c r="BG88" s="3">
        <v>1.1000000000000001</v>
      </c>
      <c r="BH88" s="3">
        <f t="shared" si="11"/>
        <v>83.611000000000018</v>
      </c>
      <c r="BI88" s="3">
        <v>80.900000000000006</v>
      </c>
      <c r="BJ88" s="3">
        <v>1.1000000000000001</v>
      </c>
      <c r="BK88" s="3">
        <f t="shared" si="12"/>
        <v>88.990000000000009</v>
      </c>
      <c r="BL88" s="3">
        <v>69</v>
      </c>
      <c r="BM88" s="3">
        <v>271.72000000000003</v>
      </c>
      <c r="BN88" s="3">
        <f>+Shepparton!F97-Shepparton!C97</f>
        <v>382905</v>
      </c>
      <c r="BO88" s="3">
        <f t="shared" si="13"/>
        <v>1409</v>
      </c>
      <c r="BQ88" s="8"/>
      <c r="BS88" s="6"/>
      <c r="BT88" s="6"/>
    </row>
    <row r="89" spans="1:72">
      <c r="A89" s="3" t="s">
        <v>79</v>
      </c>
      <c r="B89" s="391">
        <v>215.52</v>
      </c>
      <c r="C89" s="391">
        <v>39.909999999999997</v>
      </c>
      <c r="D89" s="391">
        <v>3.33</v>
      </c>
      <c r="E89" s="391">
        <v>32.53</v>
      </c>
      <c r="F89" s="391"/>
      <c r="G89" s="391"/>
      <c r="H89" s="391">
        <v>4</v>
      </c>
      <c r="I89" s="391"/>
      <c r="J89" s="391">
        <v>12.2</v>
      </c>
      <c r="K89" s="391">
        <v>70.7</v>
      </c>
      <c r="L89" s="391">
        <v>35.5</v>
      </c>
      <c r="M89" s="391">
        <v>22</v>
      </c>
      <c r="N89" s="391">
        <v>64.709999999999994</v>
      </c>
      <c r="O89" s="391">
        <v>92.6</v>
      </c>
      <c r="P89" s="391">
        <v>3.8</v>
      </c>
      <c r="Q89" s="391">
        <v>2.7</v>
      </c>
      <c r="R89" s="391">
        <v>2.7</v>
      </c>
      <c r="S89" s="391">
        <v>2.7</v>
      </c>
      <c r="T89" s="391">
        <v>1.6</v>
      </c>
      <c r="U89" s="391">
        <v>2</v>
      </c>
      <c r="V89" s="391">
        <v>0.9</v>
      </c>
      <c r="W89" s="391">
        <v>1</v>
      </c>
      <c r="X89" s="391">
        <v>1.2</v>
      </c>
      <c r="Y89" s="391">
        <v>1</v>
      </c>
      <c r="Z89" s="391">
        <v>1.2</v>
      </c>
      <c r="AA89" s="391"/>
      <c r="AB89" s="391"/>
      <c r="AC89" s="391"/>
      <c r="AD89" s="391"/>
      <c r="AE89" s="391"/>
      <c r="AF89" s="391"/>
      <c r="AG89" s="391"/>
      <c r="AH89" s="391"/>
      <c r="AI89" s="391"/>
      <c r="AJ89" s="391"/>
      <c r="AK89" s="391"/>
      <c r="AL89" s="391"/>
      <c r="AM89" s="391"/>
      <c r="AN89" s="391"/>
      <c r="AO89" s="391"/>
      <c r="AP89" s="391"/>
      <c r="AQ89" s="391"/>
      <c r="AR89" s="391"/>
      <c r="AS89" s="391"/>
      <c r="AT89" s="391"/>
      <c r="AU89" s="391"/>
      <c r="AV89" s="391"/>
      <c r="AW89" s="391"/>
      <c r="AX89" s="391"/>
      <c r="AY89" s="391"/>
      <c r="AZ89" s="391"/>
      <c r="BA89" s="391"/>
      <c r="BB89" s="9">
        <v>383191</v>
      </c>
      <c r="BC89" s="9">
        <v>396461</v>
      </c>
      <c r="BD89" s="9">
        <v>4000</v>
      </c>
      <c r="BE89" s="9">
        <f t="shared" si="10"/>
        <v>13270</v>
      </c>
      <c r="BF89" s="3">
        <v>75.150000000000006</v>
      </c>
      <c r="BG89" s="3">
        <v>1.1000000000000001</v>
      </c>
      <c r="BH89" s="3">
        <f t="shared" si="11"/>
        <v>82.665000000000006</v>
      </c>
      <c r="BI89" s="3">
        <v>91.22</v>
      </c>
      <c r="BJ89" s="3">
        <v>1.1000000000000001</v>
      </c>
      <c r="BK89" s="3">
        <f t="shared" si="12"/>
        <v>100.34200000000001</v>
      </c>
      <c r="BL89" s="3">
        <v>76</v>
      </c>
      <c r="BM89" s="3">
        <v>291.29000000000002</v>
      </c>
      <c r="BN89" s="3">
        <f>+Shepparton!F98-Shepparton!C98</f>
        <v>401740</v>
      </c>
      <c r="BO89" s="3">
        <f t="shared" si="13"/>
        <v>1379</v>
      </c>
      <c r="BQ89" s="8"/>
      <c r="BS89" s="6"/>
      <c r="BT89" s="6"/>
    </row>
    <row r="90" spans="1:72">
      <c r="A90" s="3" t="s">
        <v>80</v>
      </c>
      <c r="B90" s="391">
        <v>238.31</v>
      </c>
      <c r="C90" s="391">
        <v>40.98</v>
      </c>
      <c r="D90" s="391">
        <v>3.34</v>
      </c>
      <c r="E90" s="391">
        <v>32.450000000000003</v>
      </c>
      <c r="F90" s="391"/>
      <c r="G90" s="391"/>
      <c r="H90" s="391">
        <v>4</v>
      </c>
      <c r="I90" s="391"/>
      <c r="J90" s="391">
        <v>12.16</v>
      </c>
      <c r="K90" s="391">
        <v>68.11</v>
      </c>
      <c r="L90" s="391">
        <v>33.659999999999997</v>
      </c>
      <c r="M90" s="391">
        <v>23.89</v>
      </c>
      <c r="N90" s="391">
        <v>69.94</v>
      </c>
      <c r="O90" s="391">
        <v>99.4</v>
      </c>
      <c r="P90" s="391">
        <v>3.74</v>
      </c>
      <c r="Q90" s="391">
        <v>2.74</v>
      </c>
      <c r="R90" s="391">
        <v>2.74</v>
      </c>
      <c r="S90" s="391">
        <v>2.7</v>
      </c>
      <c r="T90" s="391">
        <v>1.6</v>
      </c>
      <c r="U90" s="391">
        <v>2</v>
      </c>
      <c r="V90" s="391">
        <v>0.9</v>
      </c>
      <c r="W90" s="391">
        <v>1</v>
      </c>
      <c r="X90" s="392">
        <v>1.25</v>
      </c>
      <c r="Y90" s="391">
        <v>1</v>
      </c>
      <c r="Z90" s="391">
        <v>1.2</v>
      </c>
      <c r="AA90" s="391"/>
      <c r="AB90" s="391"/>
      <c r="AC90" s="391"/>
      <c r="AD90" s="391"/>
      <c r="AE90" s="391"/>
      <c r="AF90" s="391"/>
      <c r="AG90" s="391"/>
      <c r="AH90" s="391"/>
      <c r="AI90" s="391"/>
      <c r="AJ90" s="391"/>
      <c r="AK90" s="391"/>
      <c r="AL90" s="391"/>
      <c r="AM90" s="391"/>
      <c r="AN90" s="391"/>
      <c r="AO90" s="391"/>
      <c r="AP90" s="391"/>
      <c r="AQ90" s="391"/>
      <c r="AR90" s="391"/>
      <c r="AS90" s="391"/>
      <c r="AT90" s="391"/>
      <c r="AU90" s="391"/>
      <c r="AV90" s="391"/>
      <c r="AW90" s="391"/>
      <c r="AX90" s="391"/>
      <c r="AY90" s="391"/>
      <c r="AZ90" s="391"/>
      <c r="BA90" s="391"/>
      <c r="BB90" s="9">
        <v>402402</v>
      </c>
      <c r="BC90" s="9">
        <v>415664</v>
      </c>
      <c r="BD90" s="9">
        <v>4000</v>
      </c>
      <c r="BE90" s="9">
        <f t="shared" si="10"/>
        <v>13262</v>
      </c>
      <c r="BF90" s="3">
        <v>79.83</v>
      </c>
      <c r="BG90" s="3">
        <v>1.1000000000000001</v>
      </c>
      <c r="BH90" s="3">
        <f t="shared" si="11"/>
        <v>87.813000000000002</v>
      </c>
      <c r="BI90" s="3">
        <v>110.05</v>
      </c>
      <c r="BJ90" s="3">
        <v>1.1000000000000001</v>
      </c>
      <c r="BK90" s="3">
        <f t="shared" si="12"/>
        <v>121.05500000000001</v>
      </c>
      <c r="BL90" s="3">
        <v>83</v>
      </c>
      <c r="BM90" s="3">
        <v>314.89999999999998</v>
      </c>
      <c r="BN90" s="3">
        <f>+Shepparton!F99-Shepparton!C99</f>
        <v>422720</v>
      </c>
      <c r="BO90" s="3">
        <f t="shared" si="13"/>
        <v>1342</v>
      </c>
      <c r="BQ90" s="8"/>
      <c r="BS90" s="6"/>
      <c r="BT90" s="6"/>
    </row>
    <row r="91" spans="1:72">
      <c r="A91" s="3" t="s">
        <v>1151</v>
      </c>
      <c r="B91" s="391">
        <v>244.73</v>
      </c>
      <c r="C91" s="391">
        <v>40.46</v>
      </c>
      <c r="D91" s="391">
        <v>7.7</v>
      </c>
      <c r="E91" s="391">
        <v>34.04</v>
      </c>
      <c r="F91" s="391"/>
      <c r="G91" s="391"/>
      <c r="H91" s="391">
        <v>2</v>
      </c>
      <c r="I91" s="391"/>
      <c r="J91" s="391">
        <v>10.7</v>
      </c>
      <c r="K91" s="391">
        <v>70.713999999999999</v>
      </c>
      <c r="L91" s="391">
        <v>42.643999999999998</v>
      </c>
      <c r="M91" s="391">
        <v>29.96</v>
      </c>
      <c r="N91" s="391">
        <v>70.209999999999994</v>
      </c>
      <c r="O91" s="391">
        <v>104.9</v>
      </c>
      <c r="P91" s="391">
        <v>9.4269999999999996</v>
      </c>
      <c r="Q91" s="391">
        <v>6.9</v>
      </c>
      <c r="R91" s="391">
        <v>5.3</v>
      </c>
      <c r="S91" s="391">
        <v>2.7</v>
      </c>
      <c r="T91" s="391">
        <v>2.4</v>
      </c>
      <c r="U91" s="391">
        <v>2</v>
      </c>
      <c r="V91" s="391">
        <v>0.9</v>
      </c>
      <c r="W91" s="391">
        <v>1</v>
      </c>
      <c r="X91" s="391">
        <v>0.9</v>
      </c>
      <c r="Y91" s="391">
        <v>1</v>
      </c>
      <c r="Z91" s="391">
        <v>1.2</v>
      </c>
      <c r="AA91" s="391"/>
      <c r="AB91" s="391"/>
      <c r="AC91" s="391"/>
      <c r="AD91" s="391"/>
      <c r="AE91" s="391"/>
      <c r="AF91" s="391"/>
      <c r="AG91" s="391"/>
      <c r="AH91" s="391"/>
      <c r="AI91" s="391"/>
      <c r="AJ91" s="391"/>
      <c r="AK91" s="391"/>
      <c r="AL91" s="391"/>
      <c r="AM91" s="391"/>
      <c r="AN91" s="391"/>
      <c r="AO91" s="391"/>
      <c r="AP91" s="391"/>
      <c r="AQ91" s="391"/>
      <c r="AR91" s="391"/>
      <c r="AS91" s="391"/>
      <c r="AT91" s="391"/>
      <c r="AU91" s="391"/>
      <c r="AV91" s="391"/>
      <c r="AW91" s="391"/>
      <c r="AX91" s="391"/>
      <c r="AY91" s="391"/>
      <c r="AZ91" s="391"/>
      <c r="BA91" s="391"/>
      <c r="BB91" s="9">
        <v>421545</v>
      </c>
      <c r="BC91" s="9">
        <v>434789</v>
      </c>
      <c r="BD91" s="9">
        <v>4000</v>
      </c>
      <c r="BE91" s="9">
        <f t="shared" si="10"/>
        <v>13244</v>
      </c>
      <c r="BF91" s="3">
        <v>79.67</v>
      </c>
      <c r="BG91" s="3">
        <v>1.1000000000000001</v>
      </c>
      <c r="BH91" s="3">
        <f>+BG91*BF91</f>
        <v>87.637000000000015</v>
      </c>
      <c r="BI91" s="3">
        <v>106.83</v>
      </c>
      <c r="BJ91" s="3">
        <v>1.1000000000000001</v>
      </c>
      <c r="BK91" s="3">
        <f>+BJ91*BI91</f>
        <v>117.51300000000001</v>
      </c>
      <c r="BL91" s="3">
        <v>83</v>
      </c>
      <c r="BM91" s="3">
        <v>363.81</v>
      </c>
      <c r="BN91" s="3">
        <f>+Shepparton!F100-Shepparton!C100</f>
        <v>441635</v>
      </c>
      <c r="BO91" s="3">
        <f>+ROUND(BN91/BM91,)</f>
        <v>1214</v>
      </c>
      <c r="BQ91" s="8"/>
      <c r="BS91" s="6"/>
      <c r="BT91" s="6"/>
    </row>
    <row r="92" spans="1:72">
      <c r="A92" s="3" t="s">
        <v>81</v>
      </c>
      <c r="B92" s="391">
        <v>254.84</v>
      </c>
      <c r="C92" s="391">
        <v>47.61</v>
      </c>
      <c r="D92" s="391">
        <v>7.7</v>
      </c>
      <c r="E92" s="391">
        <v>47.94</v>
      </c>
      <c r="F92" s="391"/>
      <c r="G92" s="391"/>
      <c r="H92" s="391">
        <v>2</v>
      </c>
      <c r="I92" s="391"/>
      <c r="J92" s="391">
        <v>14.6</v>
      </c>
      <c r="K92" s="391">
        <v>64</v>
      </c>
      <c r="L92" s="391">
        <v>46.6</v>
      </c>
      <c r="M92" s="391">
        <v>36.1</v>
      </c>
      <c r="N92" s="391">
        <v>73.5</v>
      </c>
      <c r="O92" s="391">
        <v>100.4</v>
      </c>
      <c r="P92" s="391">
        <v>11.5</v>
      </c>
      <c r="Q92" s="391">
        <v>6.4</v>
      </c>
      <c r="R92" s="391">
        <v>3.4</v>
      </c>
      <c r="S92" s="391">
        <v>2.7</v>
      </c>
      <c r="T92" s="391">
        <v>1.8</v>
      </c>
      <c r="U92" s="391">
        <v>2</v>
      </c>
      <c r="V92" s="391">
        <v>0.9</v>
      </c>
      <c r="W92" s="391">
        <v>1</v>
      </c>
      <c r="X92" s="391">
        <v>1.2</v>
      </c>
      <c r="Y92" s="391">
        <v>1</v>
      </c>
      <c r="Z92" s="391">
        <v>1.2</v>
      </c>
      <c r="AA92" s="391"/>
      <c r="AB92" s="391"/>
      <c r="AC92" s="391"/>
      <c r="AD92" s="391"/>
      <c r="AE92" s="391"/>
      <c r="AF92" s="391"/>
      <c r="AG92" s="391"/>
      <c r="AH92" s="391"/>
      <c r="AI92" s="391"/>
      <c r="AJ92" s="391"/>
      <c r="AK92" s="391"/>
      <c r="AL92" s="391"/>
      <c r="AM92" s="391"/>
      <c r="AN92" s="391"/>
      <c r="AO92" s="391"/>
      <c r="AP92" s="391"/>
      <c r="AQ92" s="391"/>
      <c r="AR92" s="391"/>
      <c r="AS92" s="391"/>
      <c r="AT92" s="391"/>
      <c r="AU92" s="391"/>
      <c r="AV92" s="391"/>
      <c r="AW92" s="391"/>
      <c r="AX92" s="391"/>
      <c r="AY92" s="391"/>
      <c r="AZ92" s="391"/>
      <c r="BA92" s="391"/>
      <c r="BB92" s="9">
        <v>439175</v>
      </c>
      <c r="BC92" s="9">
        <v>452422</v>
      </c>
      <c r="BD92" s="9">
        <v>4000</v>
      </c>
      <c r="BE92" s="9">
        <f t="shared" si="10"/>
        <v>13247</v>
      </c>
      <c r="BF92" s="3">
        <v>81.05</v>
      </c>
      <c r="BG92" s="3">
        <v>1.1000000000000001</v>
      </c>
      <c r="BH92" s="3">
        <f t="shared" si="11"/>
        <v>89.155000000000001</v>
      </c>
      <c r="BI92" s="3">
        <v>114.65</v>
      </c>
      <c r="BJ92" s="3">
        <v>1.1000000000000001</v>
      </c>
      <c r="BK92" s="3">
        <f t="shared" si="12"/>
        <v>126.11500000000002</v>
      </c>
      <c r="BL92" s="3">
        <v>83</v>
      </c>
      <c r="BM92" s="3">
        <v>349.11</v>
      </c>
      <c r="BN92" s="3">
        <f>+Shepparton!F101-Shepparton!C101</f>
        <v>459935</v>
      </c>
      <c r="BO92" s="3">
        <f t="shared" si="13"/>
        <v>1317</v>
      </c>
      <c r="BQ92" s="8"/>
      <c r="BS92" s="6"/>
      <c r="BT92" s="6"/>
    </row>
    <row r="93" spans="1:72">
      <c r="A93" s="3" t="s">
        <v>1365</v>
      </c>
      <c r="B93" s="391"/>
      <c r="C93" s="391"/>
      <c r="D93" s="391"/>
      <c r="E93" s="391"/>
      <c r="F93" s="391"/>
      <c r="G93" s="391"/>
      <c r="H93" s="391"/>
      <c r="I93" s="391"/>
      <c r="J93" s="391"/>
      <c r="K93" s="391"/>
      <c r="L93" s="391"/>
      <c r="M93" s="391"/>
      <c r="N93" s="391"/>
      <c r="O93" s="391"/>
      <c r="P93" s="391"/>
      <c r="Q93" s="391"/>
      <c r="R93" s="391"/>
      <c r="S93" s="391"/>
      <c r="T93" s="391"/>
      <c r="U93" s="391"/>
      <c r="V93" s="391"/>
      <c r="W93" s="391"/>
      <c r="X93" s="391"/>
      <c r="Y93" s="391"/>
      <c r="Z93" s="391"/>
      <c r="AA93" s="391"/>
      <c r="AB93" s="391"/>
      <c r="AC93" s="391"/>
      <c r="AD93" s="391"/>
      <c r="AE93" s="391"/>
      <c r="AF93" s="391"/>
      <c r="AG93" s="391"/>
      <c r="AH93" s="391"/>
      <c r="AI93" s="391"/>
      <c r="AJ93" s="391"/>
      <c r="AK93" s="391"/>
      <c r="AL93" s="391"/>
      <c r="AM93" s="391"/>
      <c r="AN93" s="391"/>
      <c r="AO93" s="391"/>
      <c r="AP93" s="391"/>
      <c r="AQ93" s="391"/>
      <c r="AR93" s="391"/>
      <c r="AS93" s="391"/>
      <c r="AT93" s="391"/>
      <c r="AU93" s="391"/>
      <c r="AV93" s="391"/>
      <c r="AW93" s="391"/>
      <c r="AX93" s="391"/>
      <c r="AY93" s="391"/>
      <c r="AZ93" s="391"/>
      <c r="BA93" s="391"/>
      <c r="BB93" s="9">
        <v>310120</v>
      </c>
      <c r="BC93" s="9">
        <v>323347</v>
      </c>
      <c r="BD93" s="9">
        <v>3000</v>
      </c>
      <c r="BE93" s="9">
        <f t="shared" si="10"/>
        <v>13227</v>
      </c>
      <c r="BF93" s="3">
        <v>63.2</v>
      </c>
      <c r="BG93" s="3">
        <v>1.1000000000000001</v>
      </c>
      <c r="BH93" s="3">
        <f t="shared" ref="BH93" si="14">+BG93*BF93</f>
        <v>69.52000000000001</v>
      </c>
      <c r="BI93" s="3">
        <v>60</v>
      </c>
      <c r="BJ93" s="3">
        <v>1.1000000000000001</v>
      </c>
      <c r="BK93" s="3">
        <f t="shared" si="12"/>
        <v>66</v>
      </c>
      <c r="BL93" s="3">
        <v>53</v>
      </c>
      <c r="BM93" s="3">
        <f>159.7+37.14</f>
        <v>196.83999999999997</v>
      </c>
      <c r="BN93" s="3">
        <f>+Shepparton!F102-Shepparton!C102</f>
        <v>324245</v>
      </c>
      <c r="BO93" s="3">
        <f t="shared" ref="BO93" si="15">+ROUND(BN93/BM93,)</f>
        <v>1647</v>
      </c>
      <c r="BQ93" s="8"/>
      <c r="BS93" s="6"/>
      <c r="BT93" s="6"/>
    </row>
    <row r="94" spans="1:72">
      <c r="A94" s="3" t="s">
        <v>82</v>
      </c>
      <c r="B94" s="391">
        <v>193.57</v>
      </c>
      <c r="C94" s="391">
        <v>38.47</v>
      </c>
      <c r="D94" s="391">
        <v>6.15</v>
      </c>
      <c r="E94" s="391">
        <v>13.59</v>
      </c>
      <c r="F94" s="391"/>
      <c r="G94" s="391"/>
      <c r="H94" s="391">
        <v>1</v>
      </c>
      <c r="I94" s="391"/>
      <c r="J94" s="391">
        <v>21.63</v>
      </c>
      <c r="K94" s="391">
        <v>62.1</v>
      </c>
      <c r="L94" s="391">
        <v>34.6</v>
      </c>
      <c r="M94" s="391">
        <v>19.850000000000001</v>
      </c>
      <c r="N94" s="391">
        <v>58.76</v>
      </c>
      <c r="O94" s="391">
        <v>78.97</v>
      </c>
      <c r="P94" s="391">
        <v>4.78</v>
      </c>
      <c r="Q94" s="391">
        <v>2.67</v>
      </c>
      <c r="R94" s="391">
        <v>2.67</v>
      </c>
      <c r="S94" s="391">
        <v>2.7</v>
      </c>
      <c r="T94" s="391">
        <v>1.2</v>
      </c>
      <c r="U94" s="391">
        <v>1</v>
      </c>
      <c r="V94" s="391">
        <v>1.1000000000000001</v>
      </c>
      <c r="W94" s="391">
        <v>1</v>
      </c>
      <c r="X94" s="391">
        <v>0</v>
      </c>
      <c r="Y94" s="391">
        <v>0</v>
      </c>
      <c r="Z94" s="391">
        <v>1.2</v>
      </c>
      <c r="AA94" s="391"/>
      <c r="AB94" s="391"/>
      <c r="AC94" s="391"/>
      <c r="AD94" s="391"/>
      <c r="AE94" s="391"/>
      <c r="AF94" s="391"/>
      <c r="AG94" s="391"/>
      <c r="AH94" s="391"/>
      <c r="AI94" s="391"/>
      <c r="AJ94" s="391"/>
      <c r="AK94" s="391"/>
      <c r="AL94" s="391"/>
      <c r="AM94" s="391"/>
      <c r="AN94" s="391"/>
      <c r="AO94" s="391"/>
      <c r="AP94" s="391"/>
      <c r="AQ94" s="391"/>
      <c r="AR94" s="391"/>
      <c r="AS94" s="391"/>
      <c r="AT94" s="391"/>
      <c r="AU94" s="391"/>
      <c r="AV94" s="391"/>
      <c r="AW94" s="391"/>
      <c r="AX94" s="391"/>
      <c r="AY94" s="391"/>
      <c r="AZ94" s="391"/>
      <c r="BA94" s="391"/>
      <c r="BB94" s="9">
        <v>348261</v>
      </c>
      <c r="BC94" s="9">
        <v>361506</v>
      </c>
      <c r="BD94" s="9">
        <v>4000</v>
      </c>
      <c r="BE94" s="9">
        <f t="shared" si="10"/>
        <v>13245</v>
      </c>
      <c r="BF94" s="3">
        <v>75.75</v>
      </c>
      <c r="BG94" s="3">
        <v>1.1000000000000001</v>
      </c>
      <c r="BH94" s="3">
        <f t="shared" si="11"/>
        <v>83.325000000000003</v>
      </c>
      <c r="BI94" s="3">
        <v>69.86</v>
      </c>
      <c r="BJ94" s="3">
        <v>1.1000000000000001</v>
      </c>
      <c r="BK94" s="3">
        <f t="shared" si="12"/>
        <v>76.846000000000004</v>
      </c>
      <c r="BL94" s="3">
        <v>54</v>
      </c>
      <c r="BM94" s="3">
        <v>251.33</v>
      </c>
      <c r="BN94" s="3">
        <f>+Shepparton!F103-Shepparton!C103</f>
        <v>365470</v>
      </c>
      <c r="BO94" s="3">
        <f t="shared" si="13"/>
        <v>1454</v>
      </c>
      <c r="BQ94" s="8"/>
      <c r="BS94" s="6"/>
      <c r="BT94" s="6"/>
    </row>
    <row r="95" spans="1:72">
      <c r="A95" s="3" t="s">
        <v>1435</v>
      </c>
      <c r="B95" s="391"/>
      <c r="C95" s="391"/>
      <c r="D95" s="391"/>
      <c r="E95" s="391"/>
      <c r="F95" s="391"/>
      <c r="G95" s="391"/>
      <c r="H95" s="391"/>
      <c r="I95" s="391"/>
      <c r="J95" s="391"/>
      <c r="K95" s="391"/>
      <c r="L95" s="391"/>
      <c r="M95" s="391"/>
      <c r="N95" s="391"/>
      <c r="O95" s="391"/>
      <c r="P95" s="391"/>
      <c r="Q95" s="391"/>
      <c r="R95" s="391"/>
      <c r="S95" s="391"/>
      <c r="T95" s="391"/>
      <c r="U95" s="391"/>
      <c r="V95" s="391"/>
      <c r="W95" s="391"/>
      <c r="X95" s="391"/>
      <c r="Y95" s="391"/>
      <c r="Z95" s="391"/>
      <c r="AA95" s="391"/>
      <c r="AB95" s="391"/>
      <c r="AC95" s="391"/>
      <c r="AD95" s="391"/>
      <c r="AE95" s="391"/>
      <c r="AF95" s="391"/>
      <c r="AG95" s="391"/>
      <c r="AH95" s="391"/>
      <c r="AI95" s="391"/>
      <c r="AJ95" s="391"/>
      <c r="AK95" s="391"/>
      <c r="AL95" s="391"/>
      <c r="AM95" s="391"/>
      <c r="AN95" s="391"/>
      <c r="AO95" s="391"/>
      <c r="AP95" s="391"/>
      <c r="AQ95" s="391"/>
      <c r="AR95" s="391"/>
      <c r="AS95" s="391"/>
      <c r="AT95" s="391"/>
      <c r="AU95" s="391"/>
      <c r="AV95" s="391"/>
      <c r="AW95" s="391"/>
      <c r="AX95" s="391"/>
      <c r="AY95" s="391"/>
      <c r="AZ95" s="391"/>
      <c r="BA95" s="391"/>
      <c r="BB95" s="9">
        <v>409141</v>
      </c>
      <c r="BC95" s="9">
        <v>422431</v>
      </c>
      <c r="BD95" s="9">
        <v>4000</v>
      </c>
      <c r="BE95" s="9">
        <f t="shared" si="10"/>
        <v>13290</v>
      </c>
      <c r="BF95" s="533">
        <f>100/1.1</f>
        <v>90.909090909090907</v>
      </c>
      <c r="BG95" s="3">
        <v>1.1000000000000001</v>
      </c>
      <c r="BH95" s="3">
        <f t="shared" ref="BH95" si="16">+BG95*BF95</f>
        <v>100</v>
      </c>
      <c r="BI95" s="533">
        <f>99/1.1</f>
        <v>89.999999999999986</v>
      </c>
      <c r="BJ95" s="3">
        <v>1.1000000000000001</v>
      </c>
      <c r="BK95" s="3">
        <f t="shared" si="12"/>
        <v>98.999999999999986</v>
      </c>
      <c r="BL95" s="3">
        <v>76</v>
      </c>
      <c r="BM95" s="3">
        <v>349.76</v>
      </c>
      <c r="BQ95" s="8"/>
      <c r="BS95" s="6"/>
      <c r="BT95" s="6"/>
    </row>
    <row r="96" spans="1:72">
      <c r="A96" s="3" t="s">
        <v>83</v>
      </c>
      <c r="B96" s="391">
        <v>193.35</v>
      </c>
      <c r="C96" s="391">
        <v>41.37</v>
      </c>
      <c r="D96" s="391">
        <v>7.01</v>
      </c>
      <c r="E96" s="391">
        <v>15.15</v>
      </c>
      <c r="F96" s="391"/>
      <c r="G96" s="391"/>
      <c r="H96" s="391">
        <v>2</v>
      </c>
      <c r="I96" s="391"/>
      <c r="J96" s="391">
        <v>11.89</v>
      </c>
      <c r="K96" s="391">
        <v>55.594000000000001</v>
      </c>
      <c r="L96" s="391">
        <v>22.73</v>
      </c>
      <c r="M96" s="391">
        <v>17.510000000000002</v>
      </c>
      <c r="N96" s="391">
        <v>61.13</v>
      </c>
      <c r="O96" s="391">
        <v>81</v>
      </c>
      <c r="P96" s="391">
        <v>7.13</v>
      </c>
      <c r="Q96" s="391">
        <v>5.65</v>
      </c>
      <c r="R96" s="391">
        <v>7.13</v>
      </c>
      <c r="S96" s="391">
        <v>2.15</v>
      </c>
      <c r="T96" s="391">
        <v>2.5</v>
      </c>
      <c r="U96" s="391">
        <v>2</v>
      </c>
      <c r="V96" s="391">
        <v>0.9</v>
      </c>
      <c r="W96" s="391">
        <v>1</v>
      </c>
      <c r="X96" s="391">
        <v>0</v>
      </c>
      <c r="Y96" s="391">
        <v>0</v>
      </c>
      <c r="Z96" s="391">
        <v>1.62</v>
      </c>
      <c r="AA96" s="391"/>
      <c r="AB96" s="391"/>
      <c r="AC96" s="391"/>
      <c r="AD96" s="391"/>
      <c r="AE96" s="391"/>
      <c r="AF96" s="391"/>
      <c r="AG96" s="391"/>
      <c r="AH96" s="391"/>
      <c r="AI96" s="391"/>
      <c r="AJ96" s="391"/>
      <c r="AK96" s="391"/>
      <c r="AL96" s="391"/>
      <c r="AM96" s="391"/>
      <c r="AN96" s="391"/>
      <c r="AO96" s="391"/>
      <c r="AP96" s="391"/>
      <c r="AQ96" s="391"/>
      <c r="AR96" s="391"/>
      <c r="AS96" s="391"/>
      <c r="AT96" s="391"/>
      <c r="AU96" s="391"/>
      <c r="AV96" s="391"/>
      <c r="AW96" s="391"/>
      <c r="AX96" s="391"/>
      <c r="AY96" s="391"/>
      <c r="AZ96" s="391"/>
      <c r="BA96" s="391"/>
      <c r="BB96" s="9">
        <v>355920</v>
      </c>
      <c r="BC96" s="9">
        <v>369589</v>
      </c>
      <c r="BD96" s="9">
        <v>4000</v>
      </c>
      <c r="BE96" s="9">
        <f t="shared" si="10"/>
        <v>13669</v>
      </c>
      <c r="BF96" s="3">
        <v>70.3</v>
      </c>
      <c r="BG96" s="3">
        <v>1.1000000000000001</v>
      </c>
      <c r="BH96" s="3">
        <f t="shared" si="11"/>
        <v>77.33</v>
      </c>
      <c r="BI96" s="3">
        <v>77.53</v>
      </c>
      <c r="BJ96" s="3">
        <v>1.1000000000000001</v>
      </c>
      <c r="BK96" s="3">
        <f t="shared" si="12"/>
        <v>85.283000000000001</v>
      </c>
      <c r="BL96" s="3">
        <v>64</v>
      </c>
      <c r="BM96" s="3">
        <v>256.87</v>
      </c>
      <c r="BN96" s="3">
        <f>+Shepparton!F105-Shepparton!C105</f>
        <v>373005</v>
      </c>
      <c r="BO96" s="3">
        <f t="shared" si="13"/>
        <v>1452</v>
      </c>
      <c r="BQ96" s="8"/>
      <c r="BS96" s="6"/>
      <c r="BT96" s="6"/>
    </row>
    <row r="97" spans="1:72">
      <c r="A97" s="3" t="s">
        <v>84</v>
      </c>
      <c r="B97" s="391">
        <v>251.05</v>
      </c>
      <c r="C97" s="391">
        <v>41.39</v>
      </c>
      <c r="D97" s="391">
        <v>7.01</v>
      </c>
      <c r="E97" s="391">
        <v>24.13</v>
      </c>
      <c r="F97" s="391"/>
      <c r="G97" s="391"/>
      <c r="H97" s="391">
        <v>2</v>
      </c>
      <c r="I97" s="391"/>
      <c r="J97" s="391">
        <v>11.76</v>
      </c>
      <c r="K97" s="391">
        <v>66.843000000000004</v>
      </c>
      <c r="L97" s="391">
        <v>24.981000000000002</v>
      </c>
      <c r="M97" s="391">
        <v>15.47</v>
      </c>
      <c r="N97" s="391">
        <v>75.53</v>
      </c>
      <c r="O97" s="391">
        <v>101.62</v>
      </c>
      <c r="P97" s="391">
        <v>16.100000000000001</v>
      </c>
      <c r="Q97" s="391">
        <v>5.65</v>
      </c>
      <c r="R97" s="391">
        <v>5.65</v>
      </c>
      <c r="S97" s="391">
        <v>2.15</v>
      </c>
      <c r="T97" s="391">
        <v>2.5</v>
      </c>
      <c r="U97" s="391">
        <v>2</v>
      </c>
      <c r="V97" s="391">
        <v>0.9</v>
      </c>
      <c r="W97" s="391">
        <v>1</v>
      </c>
      <c r="X97" s="391">
        <v>0</v>
      </c>
      <c r="Y97" s="391">
        <v>0</v>
      </c>
      <c r="Z97" s="391">
        <v>1.62</v>
      </c>
      <c r="AA97" s="391"/>
      <c r="AB97" s="391"/>
      <c r="AC97" s="391"/>
      <c r="AD97" s="391"/>
      <c r="AE97" s="391"/>
      <c r="AF97" s="391"/>
      <c r="AG97" s="391"/>
      <c r="AH97" s="391"/>
      <c r="AI97" s="391"/>
      <c r="AJ97" s="391"/>
      <c r="AK97" s="391"/>
      <c r="AL97" s="391"/>
      <c r="AM97" s="391"/>
      <c r="AN97" s="391"/>
      <c r="AO97" s="391"/>
      <c r="AP97" s="391"/>
      <c r="AQ97" s="391"/>
      <c r="AR97" s="391"/>
      <c r="AS97" s="391"/>
      <c r="AT97" s="391"/>
      <c r="AU97" s="391"/>
      <c r="AV97" s="391"/>
      <c r="AW97" s="391"/>
      <c r="AX97" s="391"/>
      <c r="AY97" s="391"/>
      <c r="AZ97" s="391"/>
      <c r="BA97" s="391"/>
      <c r="BB97" s="9">
        <v>408414</v>
      </c>
      <c r="BC97" s="9">
        <v>421703</v>
      </c>
      <c r="BD97" s="9">
        <v>4000</v>
      </c>
      <c r="BE97" s="9">
        <f t="shared" si="10"/>
        <v>13289</v>
      </c>
      <c r="BF97" s="3">
        <v>85.2</v>
      </c>
      <c r="BG97" s="3">
        <v>1.1000000000000001</v>
      </c>
      <c r="BH97" s="3">
        <f t="shared" si="11"/>
        <v>93.720000000000013</v>
      </c>
      <c r="BI97" s="3">
        <v>115.55</v>
      </c>
      <c r="BJ97" s="3">
        <v>1.1000000000000001</v>
      </c>
      <c r="BK97" s="3">
        <f t="shared" si="12"/>
        <v>127.105</v>
      </c>
      <c r="BL97" s="3">
        <v>73</v>
      </c>
      <c r="BM97" s="3">
        <v>323.57</v>
      </c>
      <c r="BN97" s="3">
        <f>+Shepparton!F106-Shepparton!C106</f>
        <v>429705</v>
      </c>
      <c r="BO97" s="3">
        <f t="shared" si="13"/>
        <v>1328</v>
      </c>
      <c r="BQ97" s="8"/>
      <c r="BS97" s="6"/>
      <c r="BT97" s="6"/>
    </row>
    <row r="98" spans="1:72">
      <c r="A98" s="3" t="s">
        <v>85</v>
      </c>
      <c r="B98" s="391">
        <v>158.33000000000001</v>
      </c>
      <c r="C98" s="391">
        <v>38.99</v>
      </c>
      <c r="D98" s="391">
        <v>3.79</v>
      </c>
      <c r="E98" s="391">
        <v>12</v>
      </c>
      <c r="F98" s="391"/>
      <c r="G98" s="391"/>
      <c r="H98" s="391">
        <v>4</v>
      </c>
      <c r="I98" s="391"/>
      <c r="J98" s="391">
        <v>11.81</v>
      </c>
      <c r="K98" s="391">
        <v>62.82</v>
      </c>
      <c r="L98" s="391">
        <v>37.052999999999997</v>
      </c>
      <c r="M98" s="391">
        <v>20.75</v>
      </c>
      <c r="N98" s="391">
        <v>50.99</v>
      </c>
      <c r="O98" s="391">
        <v>67.95</v>
      </c>
      <c r="P98" s="391">
        <v>3.66</v>
      </c>
      <c r="Q98" s="391">
        <v>2.76</v>
      </c>
      <c r="R98" s="391">
        <v>2.76</v>
      </c>
      <c r="S98" s="391">
        <v>2.76</v>
      </c>
      <c r="T98" s="391">
        <v>0.9</v>
      </c>
      <c r="U98" s="391">
        <v>1</v>
      </c>
      <c r="V98" s="391">
        <v>0.9</v>
      </c>
      <c r="W98" s="391">
        <v>1</v>
      </c>
      <c r="X98" s="391">
        <v>0</v>
      </c>
      <c r="Y98" s="391">
        <v>0</v>
      </c>
      <c r="Z98" s="391">
        <v>1.2</v>
      </c>
      <c r="AA98" s="391"/>
      <c r="AB98" s="391"/>
      <c r="AC98" s="391"/>
      <c r="AD98" s="391"/>
      <c r="AE98" s="391"/>
      <c r="AF98" s="391"/>
      <c r="AG98" s="391"/>
      <c r="AH98" s="391"/>
      <c r="AI98" s="391"/>
      <c r="AJ98" s="391"/>
      <c r="AK98" s="391"/>
      <c r="AL98" s="391"/>
      <c r="AM98" s="391"/>
      <c r="AN98" s="391"/>
      <c r="AO98" s="391"/>
      <c r="AP98" s="391"/>
      <c r="AQ98" s="391"/>
      <c r="AR98" s="391"/>
      <c r="AS98" s="391"/>
      <c r="AT98" s="391"/>
      <c r="AU98" s="391"/>
      <c r="AV98" s="391"/>
      <c r="AW98" s="391"/>
      <c r="AX98" s="391"/>
      <c r="AY98" s="391"/>
      <c r="AZ98" s="391"/>
      <c r="BA98" s="391"/>
      <c r="BB98" s="9">
        <v>318048</v>
      </c>
      <c r="BC98" s="9">
        <v>331300</v>
      </c>
      <c r="BD98" s="9">
        <v>3000</v>
      </c>
      <c r="BE98" s="9">
        <f t="shared" si="10"/>
        <v>13252</v>
      </c>
      <c r="BF98" s="3">
        <v>64.7</v>
      </c>
      <c r="BG98" s="3">
        <v>1.1000000000000001</v>
      </c>
      <c r="BH98" s="3">
        <f t="shared" si="11"/>
        <v>71.170000000000016</v>
      </c>
      <c r="BI98" s="3">
        <v>56.9</v>
      </c>
      <c r="BJ98" s="3">
        <v>1.1000000000000001</v>
      </c>
      <c r="BK98" s="3">
        <f t="shared" si="12"/>
        <v>62.59</v>
      </c>
      <c r="BL98" s="3">
        <v>63</v>
      </c>
      <c r="BM98" s="3">
        <v>213.09</v>
      </c>
      <c r="BN98" s="3">
        <f>+Shepparton!F107-Shepparton!C107</f>
        <v>332145</v>
      </c>
      <c r="BO98" s="3">
        <f t="shared" si="13"/>
        <v>1559</v>
      </c>
      <c r="BQ98" s="8"/>
      <c r="BS98" s="6"/>
      <c r="BT98" s="6"/>
    </row>
    <row r="99" spans="1:72">
      <c r="A99" s="3" t="s">
        <v>86</v>
      </c>
      <c r="B99" s="391">
        <v>188.02</v>
      </c>
      <c r="C99" s="391">
        <v>40.26</v>
      </c>
      <c r="D99" s="391">
        <v>4.9800000000000004</v>
      </c>
      <c r="E99" s="391">
        <v>12</v>
      </c>
      <c r="F99" s="391"/>
      <c r="G99" s="391"/>
      <c r="H99" s="391">
        <v>4</v>
      </c>
      <c r="I99" s="391"/>
      <c r="J99" s="391">
        <v>22.6</v>
      </c>
      <c r="K99" s="391">
        <v>66.900000000000006</v>
      </c>
      <c r="L99" s="391">
        <v>39.1</v>
      </c>
      <c r="M99" s="391">
        <v>24.4</v>
      </c>
      <c r="N99" s="391">
        <v>56.32</v>
      </c>
      <c r="O99" s="391">
        <v>86.8</v>
      </c>
      <c r="P99" s="391">
        <v>3.7</v>
      </c>
      <c r="Q99" s="391">
        <v>2.8</v>
      </c>
      <c r="R99" s="391">
        <v>2.8</v>
      </c>
      <c r="S99" s="391">
        <v>2.8</v>
      </c>
      <c r="T99" s="391">
        <v>1.2</v>
      </c>
      <c r="U99" s="391">
        <v>1</v>
      </c>
      <c r="V99" s="391">
        <v>0.9</v>
      </c>
      <c r="W99" s="391">
        <v>1</v>
      </c>
      <c r="X99" s="391">
        <v>0.9</v>
      </c>
      <c r="Y99" s="391">
        <v>1</v>
      </c>
      <c r="Z99" s="391">
        <v>1.2</v>
      </c>
      <c r="AA99" s="391"/>
      <c r="AB99" s="391"/>
      <c r="AC99" s="391"/>
      <c r="AD99" s="391"/>
      <c r="AE99" s="391"/>
      <c r="AF99" s="391"/>
      <c r="AG99" s="391"/>
      <c r="AH99" s="391"/>
      <c r="AI99" s="391"/>
      <c r="AJ99" s="391"/>
      <c r="AK99" s="391"/>
      <c r="AL99" s="391"/>
      <c r="AM99" s="391"/>
      <c r="AN99" s="391"/>
      <c r="AO99" s="391"/>
      <c r="AP99" s="391"/>
      <c r="AQ99" s="391"/>
      <c r="AR99" s="391"/>
      <c r="AS99" s="391"/>
      <c r="AT99" s="391"/>
      <c r="AU99" s="391"/>
      <c r="AV99" s="391"/>
      <c r="AW99" s="391"/>
      <c r="AX99" s="391"/>
      <c r="AY99" s="391"/>
      <c r="AZ99" s="391"/>
      <c r="BA99" s="391"/>
      <c r="BB99" s="9">
        <v>349713</v>
      </c>
      <c r="BC99" s="9">
        <v>362956</v>
      </c>
      <c r="BD99" s="9">
        <v>4000</v>
      </c>
      <c r="BE99" s="9">
        <f t="shared" si="10"/>
        <v>13243</v>
      </c>
      <c r="BF99" s="3">
        <v>70.8</v>
      </c>
      <c r="BG99" s="3">
        <v>1.1000000000000001</v>
      </c>
      <c r="BH99" s="3">
        <f t="shared" si="11"/>
        <v>77.88000000000001</v>
      </c>
      <c r="BI99" s="3">
        <v>71.5</v>
      </c>
      <c r="BJ99" s="3">
        <v>1.1000000000000001</v>
      </c>
      <c r="BK99" s="3">
        <f t="shared" si="12"/>
        <v>78.650000000000006</v>
      </c>
      <c r="BL99" s="3">
        <v>57</v>
      </c>
      <c r="BM99" s="3">
        <v>245.26</v>
      </c>
      <c r="BN99" s="3">
        <f>+Shepparton!F108-Shepparton!C108</f>
        <v>366465</v>
      </c>
      <c r="BO99" s="3">
        <f t="shared" si="13"/>
        <v>1494</v>
      </c>
      <c r="BQ99" s="8"/>
      <c r="BS99" s="6"/>
      <c r="BT99" s="6"/>
    </row>
    <row r="100" spans="1:72">
      <c r="A100" s="3" t="s">
        <v>87</v>
      </c>
      <c r="B100" s="391">
        <v>219.91</v>
      </c>
      <c r="C100" s="391">
        <v>38.4</v>
      </c>
      <c r="D100" s="391">
        <v>4.37</v>
      </c>
      <c r="E100" s="391">
        <v>18</v>
      </c>
      <c r="F100" s="391"/>
      <c r="G100" s="391"/>
      <c r="H100" s="391">
        <v>4</v>
      </c>
      <c r="I100" s="391"/>
      <c r="J100" s="391">
        <v>23.02</v>
      </c>
      <c r="K100" s="391">
        <v>60.8</v>
      </c>
      <c r="L100" s="391">
        <v>32.200000000000003</v>
      </c>
      <c r="M100" s="391">
        <v>25.6</v>
      </c>
      <c r="N100" s="391">
        <v>60.19</v>
      </c>
      <c r="O100" s="391">
        <v>101.7</v>
      </c>
      <c r="P100" s="391">
        <v>6.7</v>
      </c>
      <c r="Q100" s="391">
        <v>2.7</v>
      </c>
      <c r="R100" s="391">
        <v>2.7</v>
      </c>
      <c r="S100" s="391">
        <v>2.7</v>
      </c>
      <c r="T100" s="391">
        <v>1.9</v>
      </c>
      <c r="U100" s="391">
        <v>2</v>
      </c>
      <c r="V100" s="391">
        <v>0.9</v>
      </c>
      <c r="W100" s="391">
        <v>1</v>
      </c>
      <c r="X100" s="391">
        <v>0</v>
      </c>
      <c r="Y100" s="391">
        <v>0</v>
      </c>
      <c r="Z100" s="391">
        <v>1.2</v>
      </c>
      <c r="AA100" s="391"/>
      <c r="AB100" s="391"/>
      <c r="AC100" s="391"/>
      <c r="AD100" s="391"/>
      <c r="AE100" s="391"/>
      <c r="AF100" s="391"/>
      <c r="AG100" s="391"/>
      <c r="AH100" s="391"/>
      <c r="AI100" s="391"/>
      <c r="AJ100" s="391"/>
      <c r="AK100" s="391"/>
      <c r="AL100" s="391"/>
      <c r="AM100" s="391"/>
      <c r="AN100" s="391"/>
      <c r="AO100" s="391"/>
      <c r="AP100" s="391"/>
      <c r="AQ100" s="391"/>
      <c r="AR100" s="391"/>
      <c r="AS100" s="391"/>
      <c r="AT100" s="391"/>
      <c r="AU100" s="391"/>
      <c r="AV100" s="391"/>
      <c r="AW100" s="391"/>
      <c r="AX100" s="391"/>
      <c r="AY100" s="391"/>
      <c r="AZ100" s="391"/>
      <c r="BA100" s="391"/>
      <c r="BB100" s="9">
        <v>372707</v>
      </c>
      <c r="BC100" s="9">
        <v>385920</v>
      </c>
      <c r="BD100" s="9">
        <v>4000</v>
      </c>
      <c r="BE100" s="9">
        <f t="shared" si="10"/>
        <v>13213</v>
      </c>
      <c r="BF100" s="3">
        <v>79.69</v>
      </c>
      <c r="BG100" s="3">
        <v>1.1000000000000001</v>
      </c>
      <c r="BH100" s="3">
        <f t="shared" si="11"/>
        <v>87.659000000000006</v>
      </c>
      <c r="BI100" s="3">
        <v>94.12</v>
      </c>
      <c r="BJ100" s="3">
        <v>1.1000000000000001</v>
      </c>
      <c r="BK100" s="3">
        <f t="shared" si="12"/>
        <v>103.53200000000001</v>
      </c>
      <c r="BL100" s="3">
        <v>65</v>
      </c>
      <c r="BM100" s="3">
        <v>280.68</v>
      </c>
      <c r="BN100" s="3">
        <f>+Shepparton!F109-Shepparton!C109</f>
        <v>391955</v>
      </c>
      <c r="BO100" s="3">
        <f t="shared" si="13"/>
        <v>1396</v>
      </c>
      <c r="BQ100" s="8"/>
      <c r="BS100" s="6"/>
      <c r="BT100" s="6"/>
    </row>
    <row r="101" spans="1:72">
      <c r="A101" s="3" t="s">
        <v>88</v>
      </c>
      <c r="B101" s="391">
        <v>221.54</v>
      </c>
      <c r="C101" s="391">
        <v>38.4</v>
      </c>
      <c r="D101" s="391">
        <v>5.01</v>
      </c>
      <c r="E101" s="391">
        <v>29.79</v>
      </c>
      <c r="F101" s="391"/>
      <c r="G101" s="391"/>
      <c r="H101" s="391">
        <v>5</v>
      </c>
      <c r="I101" s="391"/>
      <c r="J101" s="391">
        <v>23</v>
      </c>
      <c r="K101" s="391">
        <v>63.191000000000003</v>
      </c>
      <c r="L101" s="391">
        <v>35.982999999999997</v>
      </c>
      <c r="M101" s="391">
        <v>23.78</v>
      </c>
      <c r="N101" s="391">
        <v>62.67</v>
      </c>
      <c r="O101" s="391">
        <v>101</v>
      </c>
      <c r="P101" s="391">
        <v>8.89</v>
      </c>
      <c r="Q101" s="391">
        <v>2.7</v>
      </c>
      <c r="R101" s="391">
        <v>2.7</v>
      </c>
      <c r="S101" s="391">
        <v>2.7</v>
      </c>
      <c r="T101" s="391">
        <v>1.8</v>
      </c>
      <c r="U101" s="391">
        <v>2</v>
      </c>
      <c r="V101" s="391">
        <v>0.9</v>
      </c>
      <c r="W101" s="391">
        <v>1</v>
      </c>
      <c r="X101" s="391">
        <v>0</v>
      </c>
      <c r="Y101" s="391">
        <v>0</v>
      </c>
      <c r="Z101" s="391">
        <v>1.2</v>
      </c>
      <c r="AA101" s="391"/>
      <c r="AB101" s="391"/>
      <c r="AC101" s="391"/>
      <c r="AD101" s="391"/>
      <c r="AE101" s="391"/>
      <c r="AF101" s="391"/>
      <c r="AG101" s="391"/>
      <c r="AH101" s="391"/>
      <c r="AI101" s="391"/>
      <c r="AJ101" s="391"/>
      <c r="AK101" s="391"/>
      <c r="AL101" s="391"/>
      <c r="AM101" s="391"/>
      <c r="AN101" s="391"/>
      <c r="AO101" s="391"/>
      <c r="AP101" s="391"/>
      <c r="AQ101" s="391"/>
      <c r="AR101" s="391"/>
      <c r="AS101" s="391"/>
      <c r="AT101" s="391"/>
      <c r="AU101" s="391"/>
      <c r="AV101" s="391"/>
      <c r="AW101" s="391"/>
      <c r="AX101" s="391"/>
      <c r="AY101" s="391"/>
      <c r="AZ101" s="391"/>
      <c r="BA101" s="391"/>
      <c r="BB101" s="9">
        <v>383246</v>
      </c>
      <c r="BC101" s="9">
        <v>396488</v>
      </c>
      <c r="BD101" s="9">
        <v>4000</v>
      </c>
      <c r="BE101" s="9">
        <f t="shared" si="10"/>
        <v>13242</v>
      </c>
      <c r="BF101" s="3">
        <v>76</v>
      </c>
      <c r="BG101" s="3">
        <v>1.1000000000000001</v>
      </c>
      <c r="BH101" s="3">
        <f t="shared" si="11"/>
        <v>83.600000000000009</v>
      </c>
      <c r="BI101" s="3">
        <f>13.76+46.81+32.42</f>
        <v>92.990000000000009</v>
      </c>
      <c r="BJ101" s="3">
        <v>1.1000000000000001</v>
      </c>
      <c r="BK101" s="3">
        <f t="shared" si="12"/>
        <v>102.28900000000002</v>
      </c>
      <c r="BL101" s="3">
        <v>61</v>
      </c>
      <c r="BM101" s="3">
        <v>294.73</v>
      </c>
      <c r="BN101" s="3">
        <f>+Shepparton!F110-Shepparton!C110</f>
        <v>402005</v>
      </c>
      <c r="BO101" s="3">
        <f t="shared" si="13"/>
        <v>1364</v>
      </c>
      <c r="BQ101" s="8"/>
      <c r="BS101" s="6"/>
      <c r="BT101" s="6"/>
    </row>
    <row r="102" spans="1:72">
      <c r="A102" s="3" t="s">
        <v>1345</v>
      </c>
      <c r="B102" s="391"/>
      <c r="C102" s="391"/>
      <c r="D102" s="391"/>
      <c r="E102" s="391"/>
      <c r="F102" s="391"/>
      <c r="G102" s="391"/>
      <c r="H102" s="391"/>
      <c r="I102" s="391"/>
      <c r="J102" s="391"/>
      <c r="K102" s="391"/>
      <c r="L102" s="391"/>
      <c r="M102" s="391"/>
      <c r="N102" s="391"/>
      <c r="O102" s="391"/>
      <c r="P102" s="391"/>
      <c r="Q102" s="391"/>
      <c r="R102" s="391"/>
      <c r="S102" s="391"/>
      <c r="T102" s="391"/>
      <c r="U102" s="391"/>
      <c r="V102" s="391"/>
      <c r="W102" s="391"/>
      <c r="X102" s="391"/>
      <c r="Y102" s="391"/>
      <c r="Z102" s="391"/>
      <c r="AA102" s="391"/>
      <c r="AB102" s="391"/>
      <c r="AC102" s="391"/>
      <c r="AD102" s="391"/>
      <c r="AE102" s="391"/>
      <c r="AF102" s="391"/>
      <c r="AG102" s="391"/>
      <c r="AH102" s="391"/>
      <c r="AI102" s="391"/>
      <c r="AJ102" s="391"/>
      <c r="AK102" s="391"/>
      <c r="AL102" s="391"/>
      <c r="AM102" s="391"/>
      <c r="AN102" s="391"/>
      <c r="AO102" s="391"/>
      <c r="AP102" s="391"/>
      <c r="AQ102" s="391"/>
      <c r="AR102" s="391"/>
      <c r="AS102" s="391"/>
      <c r="AT102" s="391"/>
      <c r="AU102" s="391"/>
      <c r="AV102" s="391"/>
      <c r="AW102" s="391"/>
      <c r="AX102" s="391"/>
      <c r="AY102" s="391"/>
      <c r="AZ102" s="391"/>
      <c r="BA102" s="391"/>
      <c r="BB102" s="9">
        <v>418020</v>
      </c>
      <c r="BC102" s="9">
        <v>431186</v>
      </c>
      <c r="BD102" s="9">
        <v>4000</v>
      </c>
      <c r="BE102" s="9">
        <f t="shared" si="10"/>
        <v>13166</v>
      </c>
      <c r="BF102" s="3">
        <v>84.3</v>
      </c>
      <c r="BG102" s="3">
        <v>1.1000000000000001</v>
      </c>
      <c r="BH102" s="3">
        <f>+BG102*BF102</f>
        <v>92.73</v>
      </c>
      <c r="BI102" s="3">
        <f>39.32+45.71</f>
        <v>85.03</v>
      </c>
      <c r="BJ102" s="3">
        <v>1.1000000000000001</v>
      </c>
      <c r="BK102" s="3">
        <f>+BJ102*BI102</f>
        <v>93.533000000000015</v>
      </c>
      <c r="BL102" s="3">
        <f>100-20</f>
        <v>80</v>
      </c>
      <c r="BM102" s="3">
        <f>258.72+37.4</f>
        <v>296.12</v>
      </c>
      <c r="BN102" s="3">
        <f>+Shepparton!F111-Shepparton!C111</f>
        <v>437190</v>
      </c>
      <c r="BO102" s="3">
        <f t="shared" si="13"/>
        <v>1476</v>
      </c>
      <c r="BQ102" s="8"/>
      <c r="BS102" s="6"/>
      <c r="BT102" s="6"/>
    </row>
    <row r="103" spans="1:72">
      <c r="A103" s="3" t="s">
        <v>1344</v>
      </c>
      <c r="B103" s="391"/>
      <c r="C103" s="391"/>
      <c r="D103" s="391"/>
      <c r="E103" s="391"/>
      <c r="F103" s="391"/>
      <c r="G103" s="391"/>
      <c r="H103" s="391"/>
      <c r="I103" s="391"/>
      <c r="J103" s="391"/>
      <c r="K103" s="391"/>
      <c r="L103" s="391"/>
      <c r="M103" s="391"/>
      <c r="N103" s="391"/>
      <c r="O103" s="391"/>
      <c r="P103" s="391"/>
      <c r="Q103" s="391"/>
      <c r="R103" s="391"/>
      <c r="S103" s="391"/>
      <c r="T103" s="391"/>
      <c r="U103" s="391"/>
      <c r="V103" s="391"/>
      <c r="W103" s="391"/>
      <c r="X103" s="391"/>
      <c r="Y103" s="391"/>
      <c r="Z103" s="391"/>
      <c r="AA103" s="391"/>
      <c r="AB103" s="391"/>
      <c r="AC103" s="391"/>
      <c r="AD103" s="391"/>
      <c r="AE103" s="391"/>
      <c r="AF103" s="391"/>
      <c r="AG103" s="391"/>
      <c r="AH103" s="391"/>
      <c r="AI103" s="391"/>
      <c r="AJ103" s="391"/>
      <c r="AK103" s="391"/>
      <c r="AL103" s="391"/>
      <c r="AM103" s="391"/>
      <c r="AN103" s="391"/>
      <c r="AO103" s="391"/>
      <c r="AP103" s="391"/>
      <c r="AQ103" s="391"/>
      <c r="AR103" s="391"/>
      <c r="AS103" s="391"/>
      <c r="AT103" s="391"/>
      <c r="AU103" s="391"/>
      <c r="AV103" s="391"/>
      <c r="AW103" s="391"/>
      <c r="AX103" s="391"/>
      <c r="AY103" s="391"/>
      <c r="AZ103" s="391"/>
      <c r="BA103" s="391"/>
      <c r="BB103" s="9">
        <v>472601</v>
      </c>
      <c r="BC103" s="9">
        <v>486075</v>
      </c>
      <c r="BD103" s="9">
        <v>4000</v>
      </c>
      <c r="BE103" s="9">
        <f t="shared" si="10"/>
        <v>13474</v>
      </c>
      <c r="BF103" s="3">
        <v>76.849999999999994</v>
      </c>
      <c r="BG103" s="3">
        <v>1.1000000000000001</v>
      </c>
      <c r="BH103" s="3">
        <f>+BG103*BF103</f>
        <v>84.534999999999997</v>
      </c>
      <c r="BI103" s="3">
        <v>136</v>
      </c>
      <c r="BJ103" s="3">
        <v>1.1000000000000001</v>
      </c>
      <c r="BK103" s="3">
        <f>+BJ103*BI103</f>
        <v>149.60000000000002</v>
      </c>
      <c r="BL103" s="3">
        <f>106-20</f>
        <v>86</v>
      </c>
      <c r="BM103" s="3">
        <f>276.45+37.13+28.04</f>
        <v>341.62</v>
      </c>
      <c r="BN103" s="3">
        <f>+Shepparton!F112-Shepparton!C112</f>
        <v>494300</v>
      </c>
      <c r="BO103" s="3">
        <f t="shared" si="13"/>
        <v>1447</v>
      </c>
      <c r="BQ103" s="8"/>
      <c r="BS103" s="6"/>
      <c r="BT103" s="6"/>
    </row>
    <row r="104" spans="1:72">
      <c r="A104" s="3" t="s">
        <v>1343</v>
      </c>
      <c r="B104" s="391"/>
      <c r="C104" s="391"/>
      <c r="D104" s="391"/>
      <c r="E104" s="391"/>
      <c r="F104" s="391"/>
      <c r="G104" s="391"/>
      <c r="H104" s="391"/>
      <c r="I104" s="391"/>
      <c r="J104" s="391"/>
      <c r="K104" s="391"/>
      <c r="L104" s="391"/>
      <c r="M104" s="391"/>
      <c r="N104" s="391"/>
      <c r="O104" s="391"/>
      <c r="P104" s="391"/>
      <c r="Q104" s="391"/>
      <c r="R104" s="391"/>
      <c r="S104" s="391"/>
      <c r="T104" s="391"/>
      <c r="U104" s="391"/>
      <c r="V104" s="391"/>
      <c r="W104" s="391"/>
      <c r="X104" s="391"/>
      <c r="Y104" s="391"/>
      <c r="Z104" s="391"/>
      <c r="AA104" s="391"/>
      <c r="AB104" s="391"/>
      <c r="AC104" s="391"/>
      <c r="AD104" s="391"/>
      <c r="AE104" s="391"/>
      <c r="AF104" s="391"/>
      <c r="AG104" s="391"/>
      <c r="AH104" s="391"/>
      <c r="AI104" s="391"/>
      <c r="AJ104" s="391"/>
      <c r="AK104" s="391"/>
      <c r="AL104" s="391"/>
      <c r="AM104" s="391"/>
      <c r="AN104" s="391"/>
      <c r="AO104" s="391"/>
      <c r="AP104" s="391"/>
      <c r="AQ104" s="391"/>
      <c r="AR104" s="391"/>
      <c r="AS104" s="391"/>
      <c r="AT104" s="391"/>
      <c r="AU104" s="391"/>
      <c r="AV104" s="391"/>
      <c r="AW104" s="391"/>
      <c r="AX104" s="391"/>
      <c r="AY104" s="391"/>
      <c r="AZ104" s="391"/>
      <c r="BA104" s="391"/>
      <c r="BB104" s="9">
        <v>470792</v>
      </c>
      <c r="BC104" s="9">
        <v>483869</v>
      </c>
      <c r="BD104" s="9">
        <v>4000</v>
      </c>
      <c r="BE104" s="9">
        <f t="shared" si="10"/>
        <v>13077</v>
      </c>
      <c r="BF104" s="3">
        <v>86.76</v>
      </c>
      <c r="BG104" s="3">
        <v>1.1000000000000001</v>
      </c>
      <c r="BH104" s="3">
        <f>+BG104*BF104</f>
        <v>95.436000000000007</v>
      </c>
      <c r="BI104" s="3">
        <v>123.56</v>
      </c>
      <c r="BJ104" s="3">
        <v>1.1000000000000001</v>
      </c>
      <c r="BK104" s="3">
        <f>+BJ104*BI104</f>
        <v>135.91600000000003</v>
      </c>
      <c r="BL104" s="3">
        <v>85</v>
      </c>
      <c r="BM104" s="3">
        <f>272.83+36.36+24.23</f>
        <v>333.42</v>
      </c>
      <c r="BN104" s="3">
        <f>+Shepparton!F113-Shepparton!C113</f>
        <v>492785</v>
      </c>
      <c r="BO104" s="3">
        <f t="shared" si="13"/>
        <v>1478</v>
      </c>
      <c r="BQ104" s="8"/>
      <c r="BS104" s="6"/>
      <c r="BT104" s="6"/>
    </row>
    <row r="105" spans="1:72">
      <c r="A105" s="3" t="s">
        <v>89</v>
      </c>
      <c r="B105" s="391">
        <v>164.54</v>
      </c>
      <c r="C105" s="391">
        <v>41.02</v>
      </c>
      <c r="D105" s="391">
        <v>7.7</v>
      </c>
      <c r="E105" s="391">
        <v>15.44</v>
      </c>
      <c r="F105" s="391"/>
      <c r="G105" s="391"/>
      <c r="H105" s="391">
        <v>3</v>
      </c>
      <c r="I105" s="391"/>
      <c r="J105" s="391">
        <v>7.13</v>
      </c>
      <c r="K105" s="391">
        <v>59.1</v>
      </c>
      <c r="L105" s="391">
        <v>28.1</v>
      </c>
      <c r="M105" s="391">
        <v>18.29</v>
      </c>
      <c r="N105" s="391">
        <v>56</v>
      </c>
      <c r="O105" s="391">
        <v>63.4</v>
      </c>
      <c r="P105" s="391">
        <v>3.54</v>
      </c>
      <c r="Q105" s="391">
        <v>3.24</v>
      </c>
      <c r="R105" s="391">
        <v>3.24</v>
      </c>
      <c r="S105" s="391">
        <v>2.7</v>
      </c>
      <c r="T105" s="391">
        <v>0.9</v>
      </c>
      <c r="U105" s="391">
        <v>1</v>
      </c>
      <c r="V105" s="391">
        <v>0.9</v>
      </c>
      <c r="W105" s="391">
        <v>1</v>
      </c>
      <c r="X105" s="391">
        <v>0</v>
      </c>
      <c r="Y105" s="391">
        <v>0</v>
      </c>
      <c r="Z105" s="391">
        <v>1.2</v>
      </c>
      <c r="AA105" s="391"/>
      <c r="AB105" s="391"/>
      <c r="AC105" s="391"/>
      <c r="AD105" s="391"/>
      <c r="AE105" s="391"/>
      <c r="AF105" s="391"/>
      <c r="AG105" s="391"/>
      <c r="AH105" s="391"/>
      <c r="AI105" s="391"/>
      <c r="AJ105" s="391"/>
      <c r="AK105" s="391"/>
      <c r="AL105" s="391"/>
      <c r="AM105" s="391"/>
      <c r="AN105" s="391"/>
      <c r="AO105" s="391"/>
      <c r="AP105" s="391"/>
      <c r="AQ105" s="391"/>
      <c r="AR105" s="391"/>
      <c r="AS105" s="391"/>
      <c r="AT105" s="391"/>
      <c r="AU105" s="391"/>
      <c r="AV105" s="391"/>
      <c r="AW105" s="391"/>
      <c r="AX105" s="391"/>
      <c r="AY105" s="391"/>
      <c r="AZ105" s="391"/>
      <c r="BA105" s="391"/>
      <c r="BB105" s="9">
        <v>324567</v>
      </c>
      <c r="BC105" s="9">
        <v>337780</v>
      </c>
      <c r="BD105" s="9">
        <v>3000</v>
      </c>
      <c r="BE105" s="9">
        <f t="shared" si="10"/>
        <v>13213</v>
      </c>
      <c r="BF105" s="3">
        <v>68.709999999999994</v>
      </c>
      <c r="BG105" s="3">
        <v>1.1000000000000001</v>
      </c>
      <c r="BH105" s="3">
        <f t="shared" si="11"/>
        <v>75.581000000000003</v>
      </c>
      <c r="BI105" s="3">
        <v>55.88</v>
      </c>
      <c r="BJ105" s="3">
        <v>1.1000000000000001</v>
      </c>
      <c r="BK105" s="3">
        <f t="shared" si="12"/>
        <v>61.468000000000011</v>
      </c>
      <c r="BL105" s="3">
        <v>64</v>
      </c>
      <c r="BM105" s="3">
        <v>228.72</v>
      </c>
      <c r="BN105" s="3">
        <f>+Shepparton!F114-Shepparton!C114</f>
        <v>339045</v>
      </c>
      <c r="BO105" s="3">
        <f t="shared" si="13"/>
        <v>1482</v>
      </c>
      <c r="BQ105" s="8"/>
      <c r="BS105" s="6"/>
      <c r="BT105" s="6"/>
    </row>
    <row r="106" spans="1:72">
      <c r="A106" s="3" t="s">
        <v>90</v>
      </c>
      <c r="B106" s="391">
        <v>200.29</v>
      </c>
      <c r="C106" s="391">
        <v>41.02</v>
      </c>
      <c r="D106" s="391">
        <v>7.4</v>
      </c>
      <c r="E106" s="391">
        <v>15.47</v>
      </c>
      <c r="F106" s="391"/>
      <c r="G106" s="391"/>
      <c r="H106" s="391">
        <v>3</v>
      </c>
      <c r="I106" s="391"/>
      <c r="J106" s="391">
        <v>11.08</v>
      </c>
      <c r="K106" s="391">
        <v>60.808</v>
      </c>
      <c r="L106" s="391">
        <v>27.699000000000002</v>
      </c>
      <c r="M106" s="391">
        <v>21.43</v>
      </c>
      <c r="N106" s="391">
        <v>64.41</v>
      </c>
      <c r="O106" s="391">
        <v>76.2</v>
      </c>
      <c r="P106" s="391">
        <v>3.54</v>
      </c>
      <c r="Q106" s="391">
        <v>4.83</v>
      </c>
      <c r="R106" s="391">
        <v>4.83</v>
      </c>
      <c r="S106" s="391">
        <v>3</v>
      </c>
      <c r="T106" s="391">
        <v>0.9</v>
      </c>
      <c r="U106" s="391">
        <v>1</v>
      </c>
      <c r="V106" s="391">
        <v>0.9</v>
      </c>
      <c r="W106" s="391">
        <v>1</v>
      </c>
      <c r="X106" s="391">
        <v>0</v>
      </c>
      <c r="Y106" s="391">
        <v>0</v>
      </c>
      <c r="Z106" s="391">
        <v>1.2</v>
      </c>
      <c r="AA106" s="391"/>
      <c r="AB106" s="391"/>
      <c r="AC106" s="391"/>
      <c r="AD106" s="391"/>
      <c r="AE106" s="391"/>
      <c r="AF106" s="391"/>
      <c r="AG106" s="391"/>
      <c r="AH106" s="391"/>
      <c r="AI106" s="391"/>
      <c r="AJ106" s="391"/>
      <c r="AK106" s="391"/>
      <c r="AL106" s="391"/>
      <c r="AM106" s="391"/>
      <c r="AN106" s="391"/>
      <c r="AO106" s="391"/>
      <c r="AP106" s="391"/>
      <c r="AQ106" s="391"/>
      <c r="AR106" s="391"/>
      <c r="AS106" s="391"/>
      <c r="AT106" s="391"/>
      <c r="AU106" s="391"/>
      <c r="AV106" s="391"/>
      <c r="AW106" s="391"/>
      <c r="AX106" s="391"/>
      <c r="AY106" s="391"/>
      <c r="AZ106" s="391"/>
      <c r="BA106" s="391"/>
      <c r="BB106" s="9">
        <v>360137</v>
      </c>
      <c r="BC106" s="9">
        <v>373394</v>
      </c>
      <c r="BD106" s="9">
        <v>4000</v>
      </c>
      <c r="BE106" s="9">
        <f t="shared" si="10"/>
        <v>13257</v>
      </c>
      <c r="BF106" s="3">
        <v>76.63</v>
      </c>
      <c r="BG106" s="3">
        <v>1.1000000000000001</v>
      </c>
      <c r="BH106" s="3">
        <f t="shared" si="11"/>
        <v>84.293000000000006</v>
      </c>
      <c r="BI106" s="3">
        <v>79.180000000000007</v>
      </c>
      <c r="BJ106" s="3">
        <v>1.1000000000000001</v>
      </c>
      <c r="BK106" s="3">
        <f t="shared" si="12"/>
        <v>87.098000000000013</v>
      </c>
      <c r="BL106" s="3">
        <v>68</v>
      </c>
      <c r="BM106" s="3">
        <v>263.33</v>
      </c>
      <c r="BN106" s="3">
        <f>+Shepparton!F115-Shepparton!C115</f>
        <v>378055</v>
      </c>
      <c r="BO106" s="3">
        <f t="shared" si="13"/>
        <v>1436</v>
      </c>
      <c r="BQ106" s="8"/>
      <c r="BS106" s="6"/>
      <c r="BT106" s="6"/>
    </row>
    <row r="107" spans="1:72">
      <c r="A107" s="3" t="s">
        <v>91</v>
      </c>
      <c r="B107" s="391">
        <v>240.25</v>
      </c>
      <c r="C107" s="391">
        <v>41.02</v>
      </c>
      <c r="D107" s="391">
        <v>8.4700000000000006</v>
      </c>
      <c r="E107" s="391">
        <v>16.8</v>
      </c>
      <c r="F107" s="391"/>
      <c r="G107" s="391"/>
      <c r="H107" s="391">
        <v>3</v>
      </c>
      <c r="I107" s="391"/>
      <c r="J107" s="391">
        <v>11.6</v>
      </c>
      <c r="K107" s="391">
        <v>64.863</v>
      </c>
      <c r="L107" s="391">
        <v>29.507999999999999</v>
      </c>
      <c r="M107" s="391">
        <v>24.42</v>
      </c>
      <c r="N107" s="391">
        <v>72.22</v>
      </c>
      <c r="O107" s="391">
        <v>102.2</v>
      </c>
      <c r="P107" s="391">
        <v>3.54</v>
      </c>
      <c r="Q107" s="391">
        <v>4.83</v>
      </c>
      <c r="R107" s="391">
        <v>4.83</v>
      </c>
      <c r="S107" s="391">
        <v>3</v>
      </c>
      <c r="T107" s="391">
        <v>1.8</v>
      </c>
      <c r="U107" s="391">
        <v>2</v>
      </c>
      <c r="V107" s="391">
        <v>0.9</v>
      </c>
      <c r="W107" s="391">
        <v>1</v>
      </c>
      <c r="X107" s="391">
        <v>0</v>
      </c>
      <c r="Y107" s="391">
        <v>0</v>
      </c>
      <c r="Z107" s="391">
        <v>1.2</v>
      </c>
      <c r="AA107" s="391"/>
      <c r="AB107" s="391"/>
      <c r="AC107" s="391"/>
      <c r="AD107" s="391"/>
      <c r="AE107" s="391"/>
      <c r="AF107" s="391"/>
      <c r="AG107" s="391"/>
      <c r="AH107" s="391"/>
      <c r="AI107" s="391"/>
      <c r="AJ107" s="391"/>
      <c r="AK107" s="391"/>
      <c r="AL107" s="391"/>
      <c r="AM107" s="391"/>
      <c r="AN107" s="391"/>
      <c r="AO107" s="391"/>
      <c r="AP107" s="391"/>
      <c r="AQ107" s="391"/>
      <c r="AR107" s="391"/>
      <c r="AS107" s="391"/>
      <c r="AT107" s="391"/>
      <c r="AU107" s="391"/>
      <c r="AV107" s="391"/>
      <c r="AW107" s="391"/>
      <c r="AX107" s="391"/>
      <c r="AY107" s="391"/>
      <c r="AZ107" s="391"/>
      <c r="BA107" s="391"/>
      <c r="BB107" s="9">
        <v>403446</v>
      </c>
      <c r="BC107" s="9">
        <v>416691</v>
      </c>
      <c r="BD107" s="9">
        <v>4000</v>
      </c>
      <c r="BE107" s="9">
        <f t="shared" si="10"/>
        <v>13245</v>
      </c>
      <c r="BF107" s="3">
        <v>91.44</v>
      </c>
      <c r="BG107" s="3">
        <v>1.1000000000000001</v>
      </c>
      <c r="BH107" s="3">
        <f t="shared" si="11"/>
        <v>100.584</v>
      </c>
      <c r="BI107" s="3">
        <v>98.11</v>
      </c>
      <c r="BJ107" s="3">
        <v>1.1000000000000001</v>
      </c>
      <c r="BK107" s="3">
        <f t="shared" si="12"/>
        <v>107.92100000000001</v>
      </c>
      <c r="BL107" s="3">
        <v>75</v>
      </c>
      <c r="BM107" s="3">
        <v>306.52</v>
      </c>
      <c r="BN107" s="3">
        <f>+Shepparton!F116-Shepparton!C116</f>
        <v>424295</v>
      </c>
      <c r="BO107" s="3">
        <f t="shared" si="13"/>
        <v>1384</v>
      </c>
      <c r="BQ107" s="8"/>
      <c r="BS107" s="6"/>
      <c r="BT107" s="6"/>
    </row>
    <row r="109" spans="1:72">
      <c r="A109" s="1" t="s">
        <v>92</v>
      </c>
      <c r="BF109" s="3" t="s">
        <v>10</v>
      </c>
      <c r="BG109" s="3" t="s">
        <v>11</v>
      </c>
      <c r="BI109" s="3" t="s">
        <v>3</v>
      </c>
      <c r="BJ109" s="3" t="s">
        <v>11</v>
      </c>
      <c r="BL109" s="3" t="s">
        <v>4</v>
      </c>
    </row>
    <row r="110" spans="1:72">
      <c r="A110" s="3" t="s">
        <v>93</v>
      </c>
      <c r="B110" s="391">
        <v>125.75</v>
      </c>
      <c r="C110" s="391">
        <v>24.37</v>
      </c>
      <c r="D110" s="391">
        <v>0.54</v>
      </c>
      <c r="E110" s="391">
        <v>8.9499999999999993</v>
      </c>
      <c r="F110" s="391"/>
      <c r="G110" s="391"/>
      <c r="H110" s="391">
        <v>1</v>
      </c>
      <c r="I110" s="391"/>
      <c r="J110" s="391">
        <v>9.9499999999999993</v>
      </c>
      <c r="K110" s="391">
        <v>34.127000000000002</v>
      </c>
      <c r="L110" s="391">
        <v>12.914</v>
      </c>
      <c r="M110" s="391">
        <v>18.18</v>
      </c>
      <c r="N110" s="391">
        <v>52.51</v>
      </c>
      <c r="O110" s="391">
        <v>48.5</v>
      </c>
      <c r="P110" s="391">
        <v>3.64</v>
      </c>
      <c r="Q110" s="391">
        <v>1.84</v>
      </c>
      <c r="R110" s="391">
        <v>1.84</v>
      </c>
      <c r="S110" s="391">
        <v>2.7</v>
      </c>
      <c r="T110" s="391">
        <v>0.9</v>
      </c>
      <c r="U110" s="391">
        <v>1</v>
      </c>
      <c r="V110" s="391">
        <v>0.8</v>
      </c>
      <c r="W110" s="391">
        <v>1</v>
      </c>
      <c r="X110" s="391">
        <v>0</v>
      </c>
      <c r="Y110" s="391">
        <v>0</v>
      </c>
      <c r="Z110" s="391">
        <v>1.2</v>
      </c>
      <c r="AA110" s="391"/>
      <c r="AB110" s="391"/>
      <c r="AC110" s="391"/>
      <c r="AD110" s="391"/>
      <c r="AE110" s="391"/>
      <c r="AF110" s="391"/>
      <c r="AG110" s="391"/>
      <c r="AH110" s="391"/>
      <c r="AI110" s="391"/>
      <c r="AJ110" s="391"/>
      <c r="AK110" s="391"/>
      <c r="AL110" s="391"/>
      <c r="AM110" s="391"/>
      <c r="AN110" s="391"/>
      <c r="AO110" s="391"/>
      <c r="AP110" s="391"/>
      <c r="AQ110" s="391"/>
      <c r="AR110" s="391"/>
      <c r="AS110" s="391"/>
      <c r="AT110" s="391"/>
      <c r="AU110" s="391"/>
      <c r="AV110" s="391"/>
      <c r="AW110" s="391"/>
      <c r="AX110" s="391"/>
      <c r="AY110" s="391"/>
      <c r="AZ110" s="391"/>
      <c r="BA110" s="391"/>
      <c r="BB110" s="9">
        <v>278601</v>
      </c>
      <c r="BC110" s="9">
        <v>291884</v>
      </c>
      <c r="BD110" s="9">
        <v>3000</v>
      </c>
      <c r="BE110" s="9">
        <f t="shared" ref="BE110:BE125" si="17">+BC110-BB110</f>
        <v>13283</v>
      </c>
      <c r="BF110" s="3">
        <v>53.12</v>
      </c>
      <c r="BG110" s="3">
        <v>1.1000000000000001</v>
      </c>
      <c r="BH110" s="3">
        <f t="shared" ref="BH110:BH125" si="18">+BG110*BF110</f>
        <v>58.432000000000002</v>
      </c>
      <c r="BI110" s="3">
        <v>36.65</v>
      </c>
      <c r="BJ110" s="3">
        <v>1.1000000000000001</v>
      </c>
      <c r="BK110" s="3">
        <f t="shared" ref="BK110:BK125" si="19">+BJ110*BI110</f>
        <v>40.315000000000005</v>
      </c>
      <c r="BL110" s="3">
        <v>58</v>
      </c>
      <c r="BM110" s="3">
        <v>159.91</v>
      </c>
      <c r="BN110" s="3">
        <f>+Shepparton!F130-Shepparton!C130</f>
        <v>290050</v>
      </c>
      <c r="BO110" s="3">
        <f t="shared" ref="BO110:BO125" si="20">+ROUND(BN110/BM110,)</f>
        <v>1814</v>
      </c>
      <c r="BQ110" s="8"/>
      <c r="BS110" s="6"/>
      <c r="BT110" s="6"/>
    </row>
    <row r="111" spans="1:72">
      <c r="A111" s="3" t="s">
        <v>94</v>
      </c>
      <c r="B111" s="391">
        <v>125.75</v>
      </c>
      <c r="C111" s="391">
        <v>38.6</v>
      </c>
      <c r="D111" s="391">
        <v>0.54</v>
      </c>
      <c r="E111" s="391">
        <v>8.9499999999999993</v>
      </c>
      <c r="F111" s="391"/>
      <c r="G111" s="391"/>
      <c r="H111" s="391">
        <v>1</v>
      </c>
      <c r="I111" s="391"/>
      <c r="J111" s="391">
        <v>9.25</v>
      </c>
      <c r="K111" s="391">
        <v>34.127000000000002</v>
      </c>
      <c r="L111" s="391">
        <v>12.941000000000001</v>
      </c>
      <c r="M111" s="391">
        <v>20.38</v>
      </c>
      <c r="N111" s="391">
        <v>52</v>
      </c>
      <c r="O111" s="391">
        <v>48.5</v>
      </c>
      <c r="P111" s="391">
        <v>3.64</v>
      </c>
      <c r="Q111" s="391">
        <v>1.84</v>
      </c>
      <c r="R111" s="391">
        <v>1.84</v>
      </c>
      <c r="S111" s="391">
        <v>2.7</v>
      </c>
      <c r="T111" s="391">
        <v>0.9</v>
      </c>
      <c r="U111" s="391">
        <v>1</v>
      </c>
      <c r="V111" s="391">
        <v>0.8</v>
      </c>
      <c r="W111" s="391">
        <v>1</v>
      </c>
      <c r="X111" s="391">
        <v>0</v>
      </c>
      <c r="Y111" s="391">
        <v>0</v>
      </c>
      <c r="Z111" s="391">
        <v>1.2</v>
      </c>
      <c r="AA111" s="391"/>
      <c r="AB111" s="391"/>
      <c r="AC111" s="391"/>
      <c r="AD111" s="391"/>
      <c r="AE111" s="391"/>
      <c r="AF111" s="391"/>
      <c r="AG111" s="391"/>
      <c r="AH111" s="391"/>
      <c r="AI111" s="391"/>
      <c r="AJ111" s="391"/>
      <c r="AK111" s="391"/>
      <c r="AL111" s="391"/>
      <c r="AM111" s="391"/>
      <c r="AN111" s="391"/>
      <c r="AO111" s="391"/>
      <c r="AP111" s="391"/>
      <c r="AQ111" s="391"/>
      <c r="AR111" s="391"/>
      <c r="AS111" s="391"/>
      <c r="AT111" s="391"/>
      <c r="AU111" s="391"/>
      <c r="AV111" s="391"/>
      <c r="AW111" s="391"/>
      <c r="AX111" s="391"/>
      <c r="AY111" s="391"/>
      <c r="AZ111" s="391"/>
      <c r="BA111" s="391"/>
      <c r="BB111" s="9">
        <v>290595</v>
      </c>
      <c r="BC111" s="9">
        <v>303881</v>
      </c>
      <c r="BD111" s="9">
        <v>3000</v>
      </c>
      <c r="BE111" s="9">
        <f t="shared" si="17"/>
        <v>13286</v>
      </c>
      <c r="BF111" s="3">
        <v>53.12</v>
      </c>
      <c r="BG111" s="3">
        <v>1.1000000000000001</v>
      </c>
      <c r="BH111" s="3">
        <f t="shared" si="18"/>
        <v>58.432000000000002</v>
      </c>
      <c r="BI111" s="3">
        <v>36.65</v>
      </c>
      <c r="BJ111" s="3">
        <v>1.1000000000000001</v>
      </c>
      <c r="BK111" s="3">
        <f t="shared" si="19"/>
        <v>40.315000000000005</v>
      </c>
      <c r="BL111" s="3">
        <v>62</v>
      </c>
      <c r="BM111" s="3">
        <v>174.14</v>
      </c>
      <c r="BN111" s="3">
        <f>+Shepparton!F131-Shepparton!C131</f>
        <v>302040</v>
      </c>
      <c r="BO111" s="3">
        <f t="shared" si="20"/>
        <v>1734</v>
      </c>
      <c r="BQ111" s="8"/>
      <c r="BS111" s="6"/>
      <c r="BT111" s="6"/>
    </row>
    <row r="112" spans="1:72">
      <c r="A112" s="3" t="s">
        <v>95</v>
      </c>
      <c r="B112" s="391">
        <v>134.76</v>
      </c>
      <c r="C112" s="391">
        <v>38.450000000000003</v>
      </c>
      <c r="D112" s="391">
        <v>0.54</v>
      </c>
      <c r="E112" s="391">
        <v>12.24</v>
      </c>
      <c r="F112" s="391"/>
      <c r="G112" s="391"/>
      <c r="H112" s="391">
        <v>1</v>
      </c>
      <c r="I112" s="391"/>
      <c r="J112" s="391">
        <v>9.25</v>
      </c>
      <c r="K112" s="391">
        <v>37</v>
      </c>
      <c r="L112" s="391">
        <v>12.941000000000001</v>
      </c>
      <c r="M112" s="391">
        <v>18.38</v>
      </c>
      <c r="N112" s="391">
        <v>53.51</v>
      </c>
      <c r="O112" s="391">
        <v>53.1</v>
      </c>
      <c r="P112" s="391">
        <v>3.64</v>
      </c>
      <c r="Q112" s="391">
        <v>1.84</v>
      </c>
      <c r="R112" s="391">
        <v>1.84</v>
      </c>
      <c r="S112" s="391">
        <v>2.7</v>
      </c>
      <c r="T112" s="391">
        <v>0.9</v>
      </c>
      <c r="U112" s="391">
        <v>1</v>
      </c>
      <c r="V112" s="391">
        <v>0.8</v>
      </c>
      <c r="W112" s="391">
        <v>1</v>
      </c>
      <c r="X112" s="391">
        <v>0</v>
      </c>
      <c r="Y112" s="391">
        <v>0</v>
      </c>
      <c r="Z112" s="391">
        <v>1.2</v>
      </c>
      <c r="AA112" s="391"/>
      <c r="AB112" s="391"/>
      <c r="AC112" s="391"/>
      <c r="AD112" s="391"/>
      <c r="AE112" s="391"/>
      <c r="AF112" s="391"/>
      <c r="AG112" s="391"/>
      <c r="AH112" s="391"/>
      <c r="AI112" s="391"/>
      <c r="AJ112" s="391"/>
      <c r="AK112" s="391"/>
      <c r="AL112" s="391"/>
      <c r="AM112" s="391"/>
      <c r="AN112" s="391"/>
      <c r="AO112" s="391"/>
      <c r="AP112" s="391"/>
      <c r="AQ112" s="391"/>
      <c r="AR112" s="391"/>
      <c r="AS112" s="391"/>
      <c r="AT112" s="391"/>
      <c r="AU112" s="391"/>
      <c r="AV112" s="391"/>
      <c r="AW112" s="391"/>
      <c r="AX112" s="391"/>
      <c r="AY112" s="391"/>
      <c r="AZ112" s="391"/>
      <c r="BA112" s="391"/>
      <c r="BB112" s="9">
        <v>297582</v>
      </c>
      <c r="BC112" s="9">
        <v>310861</v>
      </c>
      <c r="BD112" s="9">
        <v>3000</v>
      </c>
      <c r="BE112" s="9">
        <f t="shared" si="17"/>
        <v>13279</v>
      </c>
      <c r="BF112" s="3">
        <v>61.62</v>
      </c>
      <c r="BG112" s="3">
        <v>1.1000000000000001</v>
      </c>
      <c r="BH112" s="3">
        <f t="shared" si="18"/>
        <v>67.781999999999996</v>
      </c>
      <c r="BI112" s="3">
        <v>36.58</v>
      </c>
      <c r="BJ112" s="3">
        <v>1.1000000000000001</v>
      </c>
      <c r="BK112" s="3">
        <f t="shared" si="19"/>
        <v>40.238</v>
      </c>
      <c r="BL112" s="3">
        <v>62</v>
      </c>
      <c r="BM112" s="3">
        <v>185.01</v>
      </c>
      <c r="BN112" s="3">
        <f>+Shepparton!F132-Shepparton!C132</f>
        <v>309990</v>
      </c>
      <c r="BO112" s="3">
        <f t="shared" si="20"/>
        <v>1676</v>
      </c>
      <c r="BQ112" s="8"/>
      <c r="BS112" s="6"/>
      <c r="BT112" s="6"/>
    </row>
    <row r="113" spans="1:72">
      <c r="A113" s="3" t="s">
        <v>96</v>
      </c>
      <c r="B113" s="391">
        <v>126.2</v>
      </c>
      <c r="C113" s="391">
        <v>24.56</v>
      </c>
      <c r="D113" s="391">
        <v>2.61</v>
      </c>
      <c r="E113" s="391">
        <v>0</v>
      </c>
      <c r="F113" s="391"/>
      <c r="G113" s="391"/>
      <c r="H113" s="391">
        <v>1</v>
      </c>
      <c r="I113" s="391"/>
      <c r="J113" s="391">
        <v>5.0199999999999996</v>
      </c>
      <c r="K113" s="391">
        <v>34.619</v>
      </c>
      <c r="L113" s="391">
        <v>11.766</v>
      </c>
      <c r="M113" s="391">
        <v>13.52</v>
      </c>
      <c r="N113" s="391">
        <v>45.16</v>
      </c>
      <c r="O113" s="391">
        <v>54</v>
      </c>
      <c r="P113" s="391">
        <v>2.31</v>
      </c>
      <c r="Q113" s="391">
        <v>3.51</v>
      </c>
      <c r="R113" s="391">
        <v>3.51</v>
      </c>
      <c r="S113" s="391">
        <v>1.89</v>
      </c>
      <c r="T113" s="391">
        <v>0.9</v>
      </c>
      <c r="U113" s="391">
        <v>1</v>
      </c>
      <c r="V113" s="391">
        <v>0.9</v>
      </c>
      <c r="W113" s="391">
        <v>1</v>
      </c>
      <c r="X113" s="391">
        <v>0</v>
      </c>
      <c r="Y113" s="391">
        <v>0</v>
      </c>
      <c r="Z113" s="391">
        <v>1.2</v>
      </c>
      <c r="AA113" s="391"/>
      <c r="AB113" s="391"/>
      <c r="AC113" s="391"/>
      <c r="AD113" s="391"/>
      <c r="AE113" s="391"/>
      <c r="AF113" s="391"/>
      <c r="AG113" s="391"/>
      <c r="AH113" s="391"/>
      <c r="AI113" s="391"/>
      <c r="AJ113" s="391"/>
      <c r="AK113" s="391"/>
      <c r="AL113" s="391"/>
      <c r="AM113" s="391"/>
      <c r="AN113" s="391"/>
      <c r="AO113" s="391"/>
      <c r="AP113" s="391"/>
      <c r="AQ113" s="391"/>
      <c r="AR113" s="391"/>
      <c r="AS113" s="391"/>
      <c r="AT113" s="391"/>
      <c r="AU113" s="391"/>
      <c r="AV113" s="391"/>
      <c r="AW113" s="391"/>
      <c r="AX113" s="391"/>
      <c r="AY113" s="391"/>
      <c r="AZ113" s="391"/>
      <c r="BA113" s="391"/>
      <c r="BB113" s="9">
        <v>274130</v>
      </c>
      <c r="BC113" s="9">
        <v>287320</v>
      </c>
      <c r="BD113" s="9">
        <v>3000</v>
      </c>
      <c r="BE113" s="9">
        <f t="shared" si="17"/>
        <v>13190</v>
      </c>
      <c r="BF113" s="3">
        <v>51.71</v>
      </c>
      <c r="BG113" s="3">
        <v>1.1000000000000001</v>
      </c>
      <c r="BH113" s="3">
        <f t="shared" si="18"/>
        <v>56.881000000000007</v>
      </c>
      <c r="BI113" s="3">
        <v>38.86</v>
      </c>
      <c r="BJ113" s="3">
        <v>1.1000000000000001</v>
      </c>
      <c r="BK113" s="3">
        <f t="shared" si="19"/>
        <v>42.746000000000002</v>
      </c>
      <c r="BL113" s="3">
        <v>50</v>
      </c>
      <c r="BM113" s="3">
        <v>153.78</v>
      </c>
      <c r="BN113" s="3">
        <f>+Shepparton!F133-Shepparton!C133</f>
        <v>285555</v>
      </c>
      <c r="BO113" s="3">
        <f t="shared" si="20"/>
        <v>1857</v>
      </c>
      <c r="BQ113" s="8"/>
      <c r="BS113" s="6"/>
      <c r="BT113" s="6"/>
    </row>
    <row r="114" spans="1:72">
      <c r="A114" s="3" t="s">
        <v>97</v>
      </c>
      <c r="B114" s="391">
        <v>143.6</v>
      </c>
      <c r="C114" s="391">
        <v>24.56</v>
      </c>
      <c r="D114" s="391">
        <v>3.96</v>
      </c>
      <c r="E114" s="391">
        <v>10.65</v>
      </c>
      <c r="F114" s="391"/>
      <c r="G114" s="391"/>
      <c r="H114" s="391">
        <v>2</v>
      </c>
      <c r="I114" s="391"/>
      <c r="J114" s="391">
        <v>5.0199999999999996</v>
      </c>
      <c r="K114" s="391">
        <v>34.618000000000002</v>
      </c>
      <c r="L114" s="391">
        <v>11.766</v>
      </c>
      <c r="M114" s="391">
        <v>17.21</v>
      </c>
      <c r="N114" s="391">
        <v>52.56</v>
      </c>
      <c r="O114" s="391">
        <v>60.2</v>
      </c>
      <c r="P114" s="391">
        <v>2.31</v>
      </c>
      <c r="Q114" s="391">
        <v>3.5</v>
      </c>
      <c r="R114" s="391">
        <v>3.5</v>
      </c>
      <c r="S114" s="391">
        <v>1.89</v>
      </c>
      <c r="T114" s="391">
        <v>0.9</v>
      </c>
      <c r="U114" s="391">
        <v>1</v>
      </c>
      <c r="V114" s="391">
        <v>0.9</v>
      </c>
      <c r="W114" s="391">
        <v>1</v>
      </c>
      <c r="X114" s="391">
        <v>0</v>
      </c>
      <c r="Y114" s="391">
        <v>0</v>
      </c>
      <c r="Z114" s="391">
        <v>1.2</v>
      </c>
      <c r="AA114" s="391"/>
      <c r="AB114" s="391"/>
      <c r="AC114" s="391"/>
      <c r="AD114" s="391"/>
      <c r="AE114" s="391"/>
      <c r="AF114" s="391"/>
      <c r="AG114" s="391"/>
      <c r="AH114" s="391"/>
      <c r="AI114" s="391"/>
      <c r="AJ114" s="391"/>
      <c r="AK114" s="391"/>
      <c r="AL114" s="391"/>
      <c r="AM114" s="391"/>
      <c r="AN114" s="391"/>
      <c r="AO114" s="391"/>
      <c r="AP114" s="391"/>
      <c r="AQ114" s="391"/>
      <c r="AR114" s="391"/>
      <c r="AS114" s="391"/>
      <c r="AT114" s="391"/>
      <c r="AU114" s="391"/>
      <c r="AV114" s="391"/>
      <c r="AW114" s="391"/>
      <c r="AX114" s="391"/>
      <c r="AY114" s="391"/>
      <c r="AZ114" s="391"/>
      <c r="BA114" s="391"/>
      <c r="BB114" s="9">
        <v>294718</v>
      </c>
      <c r="BC114" s="9">
        <v>308010</v>
      </c>
      <c r="BD114" s="9">
        <v>3000</v>
      </c>
      <c r="BE114" s="9">
        <f t="shared" si="17"/>
        <v>13292</v>
      </c>
      <c r="BF114" s="3">
        <v>56.06</v>
      </c>
      <c r="BG114" s="3">
        <v>1.1000000000000001</v>
      </c>
      <c r="BH114" s="3">
        <f t="shared" si="18"/>
        <v>61.666000000000011</v>
      </c>
      <c r="BI114" s="3">
        <v>48.92</v>
      </c>
      <c r="BJ114" s="3">
        <v>1.1000000000000001</v>
      </c>
      <c r="BK114" s="3">
        <f t="shared" si="19"/>
        <v>53.812000000000005</v>
      </c>
      <c r="BL114" s="3">
        <v>58</v>
      </c>
      <c r="BM114" s="3">
        <v>182.98</v>
      </c>
      <c r="BN114" s="3">
        <f>+Shepparton!F134-Shepparton!C134</f>
        <v>307305</v>
      </c>
      <c r="BO114" s="3">
        <f t="shared" si="20"/>
        <v>1679</v>
      </c>
      <c r="BQ114" s="8"/>
      <c r="BS114" s="6"/>
      <c r="BT114" s="6"/>
    </row>
    <row r="115" spans="1:72">
      <c r="A115" s="3" t="s">
        <v>98</v>
      </c>
      <c r="B115" s="391">
        <v>149.58000000000001</v>
      </c>
      <c r="C115" s="391">
        <v>24.57</v>
      </c>
      <c r="D115" s="391">
        <v>3.96</v>
      </c>
      <c r="E115" s="391">
        <v>10.65</v>
      </c>
      <c r="F115" s="391"/>
      <c r="G115" s="391"/>
      <c r="H115" s="391">
        <v>3</v>
      </c>
      <c r="I115" s="391"/>
      <c r="J115" s="391">
        <v>4.62</v>
      </c>
      <c r="K115" s="391">
        <v>38.051000000000002</v>
      </c>
      <c r="L115" s="391">
        <v>15.157</v>
      </c>
      <c r="M115" s="391">
        <v>18.77</v>
      </c>
      <c r="N115" s="391">
        <v>55.68</v>
      </c>
      <c r="O115" s="391">
        <v>63.5</v>
      </c>
      <c r="P115" s="391">
        <v>2.31</v>
      </c>
      <c r="Q115" s="391">
        <v>3.51</v>
      </c>
      <c r="R115" s="391">
        <v>3.51</v>
      </c>
      <c r="S115" s="391">
        <v>1.89</v>
      </c>
      <c r="T115" s="391">
        <v>0.9</v>
      </c>
      <c r="U115" s="391">
        <v>1</v>
      </c>
      <c r="V115" s="391">
        <v>0.9</v>
      </c>
      <c r="W115" s="391">
        <v>1</v>
      </c>
      <c r="X115" s="391">
        <v>0</v>
      </c>
      <c r="Y115" s="391">
        <v>0</v>
      </c>
      <c r="Z115" s="391">
        <v>1.2</v>
      </c>
      <c r="AA115" s="391"/>
      <c r="AB115" s="391"/>
      <c r="AC115" s="391"/>
      <c r="AD115" s="391"/>
      <c r="AE115" s="391"/>
      <c r="AF115" s="391"/>
      <c r="AG115" s="391"/>
      <c r="AH115" s="391"/>
      <c r="AI115" s="391"/>
      <c r="AJ115" s="391"/>
      <c r="AK115" s="391"/>
      <c r="AL115" s="391"/>
      <c r="AM115" s="391"/>
      <c r="AN115" s="391"/>
      <c r="AO115" s="391"/>
      <c r="AP115" s="391"/>
      <c r="AQ115" s="391"/>
      <c r="AR115" s="391"/>
      <c r="AS115" s="391"/>
      <c r="AT115" s="391"/>
      <c r="AU115" s="391"/>
      <c r="AV115" s="391"/>
      <c r="AW115" s="391"/>
      <c r="AX115" s="391"/>
      <c r="AY115" s="391"/>
      <c r="AZ115" s="391"/>
      <c r="BA115" s="391"/>
      <c r="BB115" s="9">
        <v>298314</v>
      </c>
      <c r="BC115" s="9">
        <v>311658</v>
      </c>
      <c r="BD115" s="9">
        <v>3000</v>
      </c>
      <c r="BE115" s="9">
        <f t="shared" si="17"/>
        <v>13344</v>
      </c>
      <c r="BF115" s="3">
        <v>52.09</v>
      </c>
      <c r="BG115" s="3">
        <v>1.1000000000000001</v>
      </c>
      <c r="BH115" s="3">
        <f t="shared" si="18"/>
        <v>57.299000000000007</v>
      </c>
      <c r="BI115" s="3">
        <v>58.1</v>
      </c>
      <c r="BJ115" s="3">
        <v>1.1000000000000001</v>
      </c>
      <c r="BK115" s="3">
        <f t="shared" si="19"/>
        <v>63.910000000000004</v>
      </c>
      <c r="BL115" s="3">
        <v>61</v>
      </c>
      <c r="BM115" s="3">
        <v>186.97</v>
      </c>
      <c r="BN115" s="3">
        <f>+Shepparton!F135-Shepparton!C135</f>
        <v>311060</v>
      </c>
      <c r="BO115" s="3">
        <f t="shared" si="20"/>
        <v>1664</v>
      </c>
      <c r="BQ115" s="8"/>
      <c r="BS115" s="6"/>
      <c r="BT115" s="6"/>
    </row>
    <row r="116" spans="1:72">
      <c r="A116" s="3" t="s">
        <v>99</v>
      </c>
      <c r="B116" s="391">
        <v>120.37</v>
      </c>
      <c r="C116" s="391">
        <v>25.23</v>
      </c>
      <c r="D116" s="391">
        <v>4.07</v>
      </c>
      <c r="E116" s="391">
        <v>0</v>
      </c>
      <c r="F116" s="391"/>
      <c r="G116" s="391"/>
      <c r="H116" s="391">
        <v>2</v>
      </c>
      <c r="I116" s="391"/>
      <c r="J116" s="391">
        <v>6.17</v>
      </c>
      <c r="K116" s="391">
        <v>34.32</v>
      </c>
      <c r="L116" s="391">
        <v>10.6</v>
      </c>
      <c r="M116" s="391">
        <v>12.23</v>
      </c>
      <c r="N116" s="391">
        <v>42.8</v>
      </c>
      <c r="O116" s="391">
        <v>51.45</v>
      </c>
      <c r="P116" s="391">
        <v>3.34</v>
      </c>
      <c r="Q116" s="391">
        <v>1.54</v>
      </c>
      <c r="R116" s="391">
        <v>1.54</v>
      </c>
      <c r="S116" s="391">
        <v>2.4900000000000002</v>
      </c>
      <c r="T116" s="392">
        <v>0</v>
      </c>
      <c r="U116" s="392">
        <v>0</v>
      </c>
      <c r="V116" s="391">
        <v>0.9</v>
      </c>
      <c r="W116" s="391">
        <v>1</v>
      </c>
      <c r="X116" s="391">
        <v>0</v>
      </c>
      <c r="Y116" s="391">
        <v>0</v>
      </c>
      <c r="Z116" s="391">
        <v>1.2</v>
      </c>
      <c r="AA116" s="391"/>
      <c r="AB116" s="391"/>
      <c r="AC116" s="391"/>
      <c r="AD116" s="391"/>
      <c r="AE116" s="391"/>
      <c r="AF116" s="391"/>
      <c r="AG116" s="391"/>
      <c r="AH116" s="391"/>
      <c r="AI116" s="391"/>
      <c r="AJ116" s="391"/>
      <c r="AK116" s="391"/>
      <c r="AL116" s="391"/>
      <c r="AM116" s="391"/>
      <c r="AN116" s="391"/>
      <c r="AO116" s="391"/>
      <c r="AP116" s="391"/>
      <c r="AQ116" s="391"/>
      <c r="AR116" s="391"/>
      <c r="AS116" s="391"/>
      <c r="AT116" s="391"/>
      <c r="AU116" s="391"/>
      <c r="AV116" s="391"/>
      <c r="AW116" s="391"/>
      <c r="AX116" s="391"/>
      <c r="AY116" s="391"/>
      <c r="AZ116" s="391"/>
      <c r="BA116" s="391"/>
      <c r="BB116" s="9">
        <v>242920</v>
      </c>
      <c r="BC116" s="9">
        <v>255631</v>
      </c>
      <c r="BD116" s="9">
        <v>3000</v>
      </c>
      <c r="BE116" s="9">
        <f t="shared" si="17"/>
        <v>12711</v>
      </c>
      <c r="BF116" s="3">
        <v>51.75</v>
      </c>
      <c r="BG116" s="3">
        <v>1.1000000000000001</v>
      </c>
      <c r="BH116" s="3">
        <f t="shared" si="18"/>
        <v>56.925000000000004</v>
      </c>
      <c r="BI116" s="3">
        <v>40.9</v>
      </c>
      <c r="BJ116" s="3">
        <v>1.1000000000000001</v>
      </c>
      <c r="BK116" s="3">
        <f t="shared" si="19"/>
        <v>44.99</v>
      </c>
      <c r="BL116" s="3">
        <v>48</v>
      </c>
      <c r="BM116" s="3">
        <v>149.9</v>
      </c>
      <c r="BN116" s="3">
        <f>+Shepparton!F136-Shepparton!C136</f>
        <v>254485</v>
      </c>
      <c r="BO116" s="3">
        <f t="shared" si="20"/>
        <v>1698</v>
      </c>
      <c r="BQ116" s="8"/>
      <c r="BS116" s="6"/>
      <c r="BT116" s="6"/>
    </row>
    <row r="117" spans="1:72">
      <c r="A117" s="3" t="s">
        <v>100</v>
      </c>
      <c r="B117" s="391">
        <v>133.12</v>
      </c>
      <c r="C117" s="391">
        <v>25.23</v>
      </c>
      <c r="D117" s="391">
        <v>4.21</v>
      </c>
      <c r="E117" s="391">
        <v>7.22</v>
      </c>
      <c r="F117" s="391"/>
      <c r="G117" s="391"/>
      <c r="H117" s="391">
        <v>2</v>
      </c>
      <c r="I117" s="391"/>
      <c r="J117" s="391">
        <v>6.17</v>
      </c>
      <c r="K117" s="391">
        <v>34.54</v>
      </c>
      <c r="L117" s="391">
        <v>10.64</v>
      </c>
      <c r="M117" s="391">
        <v>14.6</v>
      </c>
      <c r="N117" s="391">
        <v>47.74</v>
      </c>
      <c r="O117" s="391">
        <v>53.45</v>
      </c>
      <c r="P117" s="391">
        <v>3.39</v>
      </c>
      <c r="Q117" s="391">
        <v>1.57</v>
      </c>
      <c r="R117" s="391">
        <v>1.57</v>
      </c>
      <c r="S117" s="391">
        <v>2.58</v>
      </c>
      <c r="T117" s="391">
        <v>0.9</v>
      </c>
      <c r="U117" s="391">
        <v>1</v>
      </c>
      <c r="V117" s="391">
        <v>0.9</v>
      </c>
      <c r="W117" s="391">
        <v>1</v>
      </c>
      <c r="X117" s="391">
        <v>0</v>
      </c>
      <c r="Y117" s="391">
        <v>0</v>
      </c>
      <c r="Z117" s="391">
        <v>1.2</v>
      </c>
      <c r="AA117" s="391"/>
      <c r="AB117" s="391"/>
      <c r="AC117" s="391"/>
      <c r="AD117" s="391"/>
      <c r="AE117" s="391"/>
      <c r="AF117" s="391"/>
      <c r="AG117" s="391"/>
      <c r="AH117" s="391"/>
      <c r="AI117" s="391"/>
      <c r="AJ117" s="391"/>
      <c r="AK117" s="391"/>
      <c r="AL117" s="391"/>
      <c r="AM117" s="391"/>
      <c r="AN117" s="391"/>
      <c r="AO117" s="391"/>
      <c r="AP117" s="391"/>
      <c r="AQ117" s="391"/>
      <c r="AR117" s="391"/>
      <c r="AS117" s="391"/>
      <c r="AT117" s="391"/>
      <c r="AU117" s="391"/>
      <c r="AV117" s="391"/>
      <c r="AW117" s="391"/>
      <c r="AX117" s="391"/>
      <c r="AY117" s="391"/>
      <c r="AZ117" s="391"/>
      <c r="BA117" s="391"/>
      <c r="BB117" s="9">
        <v>276599</v>
      </c>
      <c r="BC117" s="9">
        <v>289769</v>
      </c>
      <c r="BD117" s="9">
        <v>3000</v>
      </c>
      <c r="BE117" s="9">
        <f t="shared" si="17"/>
        <v>13170</v>
      </c>
      <c r="BF117" s="3">
        <v>59.75</v>
      </c>
      <c r="BG117" s="3">
        <v>1.1000000000000001</v>
      </c>
      <c r="BH117" s="3">
        <f t="shared" si="18"/>
        <v>65.725000000000009</v>
      </c>
      <c r="BI117" s="3">
        <v>40.26</v>
      </c>
      <c r="BJ117" s="3">
        <v>1.1000000000000001</v>
      </c>
      <c r="BK117" s="3">
        <f t="shared" si="19"/>
        <v>44.286000000000001</v>
      </c>
      <c r="BL117" s="3">
        <v>53</v>
      </c>
      <c r="BM117" s="3">
        <v>169.95</v>
      </c>
      <c r="BN117" s="3">
        <f>+Shepparton!F137-Shepparton!C137</f>
        <v>289030</v>
      </c>
      <c r="BO117" s="3">
        <f t="shared" si="20"/>
        <v>1701</v>
      </c>
      <c r="BQ117" s="8"/>
      <c r="BS117" s="6"/>
      <c r="BT117" s="6"/>
    </row>
    <row r="118" spans="1:72">
      <c r="A118" s="3" t="s">
        <v>101</v>
      </c>
      <c r="B118" s="391">
        <v>149.29</v>
      </c>
      <c r="C118" s="391">
        <v>25.23</v>
      </c>
      <c r="D118" s="391">
        <v>4.21</v>
      </c>
      <c r="E118" s="391">
        <v>8.44</v>
      </c>
      <c r="F118" s="391"/>
      <c r="G118" s="391"/>
      <c r="H118" s="391">
        <v>2</v>
      </c>
      <c r="I118" s="391"/>
      <c r="J118" s="391">
        <v>6.17</v>
      </c>
      <c r="K118" s="391">
        <v>34.54</v>
      </c>
      <c r="L118" s="391">
        <v>10.637</v>
      </c>
      <c r="M118" s="391">
        <v>16.75</v>
      </c>
      <c r="N118" s="391">
        <v>52.04</v>
      </c>
      <c r="O118" s="391">
        <v>58.65</v>
      </c>
      <c r="P118" s="391">
        <v>3.4</v>
      </c>
      <c r="Q118" s="391">
        <v>1.57</v>
      </c>
      <c r="R118" s="391">
        <v>1.57</v>
      </c>
      <c r="S118" s="391">
        <v>2.58</v>
      </c>
      <c r="T118" s="391">
        <v>0.9</v>
      </c>
      <c r="U118" s="391">
        <v>1</v>
      </c>
      <c r="V118" s="391">
        <v>0.9</v>
      </c>
      <c r="W118" s="391">
        <v>1</v>
      </c>
      <c r="X118" s="391">
        <v>0</v>
      </c>
      <c r="Y118" s="391">
        <v>0</v>
      </c>
      <c r="Z118" s="391">
        <v>1.2</v>
      </c>
      <c r="AA118" s="391"/>
      <c r="AB118" s="391"/>
      <c r="AC118" s="391"/>
      <c r="AD118" s="391"/>
      <c r="AE118" s="391"/>
      <c r="AF118" s="391"/>
      <c r="AG118" s="391"/>
      <c r="AH118" s="391"/>
      <c r="AI118" s="391"/>
      <c r="AJ118" s="391"/>
      <c r="AK118" s="391"/>
      <c r="AL118" s="391"/>
      <c r="AM118" s="391"/>
      <c r="AN118" s="391"/>
      <c r="AO118" s="391"/>
      <c r="AP118" s="391"/>
      <c r="AQ118" s="391"/>
      <c r="AR118" s="391"/>
      <c r="AS118" s="391"/>
      <c r="AT118" s="391"/>
      <c r="AU118" s="391"/>
      <c r="AV118" s="391"/>
      <c r="AW118" s="391"/>
      <c r="AX118" s="391"/>
      <c r="AY118" s="391"/>
      <c r="AZ118" s="391"/>
      <c r="BA118" s="391"/>
      <c r="BB118" s="9">
        <v>292091</v>
      </c>
      <c r="BC118" s="9">
        <v>305240</v>
      </c>
      <c r="BD118" s="9">
        <v>3000</v>
      </c>
      <c r="BE118" s="9">
        <f t="shared" si="17"/>
        <v>13149</v>
      </c>
      <c r="BF118" s="3">
        <v>64.900000000000006</v>
      </c>
      <c r="BG118" s="3">
        <v>1.1000000000000001</v>
      </c>
      <c r="BH118" s="3">
        <f t="shared" si="18"/>
        <v>71.390000000000015</v>
      </c>
      <c r="BI118" s="3">
        <v>50.3</v>
      </c>
      <c r="BJ118" s="3">
        <v>1.1000000000000001</v>
      </c>
      <c r="BK118" s="3">
        <f t="shared" si="19"/>
        <v>55.33</v>
      </c>
      <c r="BL118" s="3">
        <v>57</v>
      </c>
      <c r="BM118" s="3">
        <v>187.15</v>
      </c>
      <c r="BN118" s="3">
        <f>+Shepparton!F138-Shepparton!C138</f>
        <v>305775</v>
      </c>
      <c r="BO118" s="3">
        <f t="shared" si="20"/>
        <v>1634</v>
      </c>
      <c r="BQ118" s="8"/>
      <c r="BS118" s="6"/>
      <c r="BT118" s="6"/>
    </row>
    <row r="119" spans="1:72">
      <c r="A119" s="3" t="s">
        <v>102</v>
      </c>
      <c r="B119" s="391">
        <v>134.91</v>
      </c>
      <c r="C119" s="391">
        <v>24.99</v>
      </c>
      <c r="D119" s="391">
        <v>3.26</v>
      </c>
      <c r="E119" s="391">
        <v>8.49</v>
      </c>
      <c r="F119" s="391"/>
      <c r="G119" s="391"/>
      <c r="H119" s="391">
        <v>2</v>
      </c>
      <c r="I119" s="391"/>
      <c r="J119" s="391">
        <v>7.33</v>
      </c>
      <c r="K119" s="391">
        <v>47.12</v>
      </c>
      <c r="L119" s="391">
        <v>19.170999999999999</v>
      </c>
      <c r="M119" s="391">
        <v>17.100000000000001</v>
      </c>
      <c r="N119" s="391">
        <v>58.02</v>
      </c>
      <c r="O119" s="391">
        <v>47.8</v>
      </c>
      <c r="P119" s="391">
        <v>3.64</v>
      </c>
      <c r="Q119" s="391">
        <v>1.84</v>
      </c>
      <c r="R119" s="391">
        <v>1.84</v>
      </c>
      <c r="S119" s="391">
        <v>2.7</v>
      </c>
      <c r="T119" s="391">
        <v>0.9</v>
      </c>
      <c r="U119" s="391">
        <v>1</v>
      </c>
      <c r="V119" s="391">
        <v>0.9</v>
      </c>
      <c r="W119" s="391">
        <v>1</v>
      </c>
      <c r="X119" s="391">
        <v>0</v>
      </c>
      <c r="Y119" s="391">
        <v>0</v>
      </c>
      <c r="Z119" s="391">
        <v>1.2</v>
      </c>
      <c r="AA119" s="391"/>
      <c r="AB119" s="391"/>
      <c r="AC119" s="391"/>
      <c r="AD119" s="391"/>
      <c r="AE119" s="391"/>
      <c r="AF119" s="391"/>
      <c r="AG119" s="391"/>
      <c r="AH119" s="391"/>
      <c r="AI119" s="391"/>
      <c r="AJ119" s="391"/>
      <c r="AK119" s="391"/>
      <c r="AL119" s="391"/>
      <c r="AM119" s="391"/>
      <c r="AN119" s="391"/>
      <c r="AO119" s="391"/>
      <c r="AP119" s="391"/>
      <c r="AQ119" s="391"/>
      <c r="AR119" s="391"/>
      <c r="AS119" s="391"/>
      <c r="AT119" s="391"/>
      <c r="AU119" s="391"/>
      <c r="AV119" s="391"/>
      <c r="AW119" s="391"/>
      <c r="AX119" s="391"/>
      <c r="AY119" s="391"/>
      <c r="AZ119" s="391"/>
      <c r="BA119" s="391"/>
      <c r="BB119" s="9">
        <v>288037</v>
      </c>
      <c r="BC119" s="9">
        <v>301267</v>
      </c>
      <c r="BD119" s="9">
        <v>3000</v>
      </c>
      <c r="BE119" s="9">
        <f t="shared" si="17"/>
        <v>13230</v>
      </c>
      <c r="BF119" s="3">
        <v>59.25</v>
      </c>
      <c r="BG119" s="3">
        <v>1.1000000000000001</v>
      </c>
      <c r="BH119" s="3">
        <f t="shared" si="18"/>
        <v>65.175000000000011</v>
      </c>
      <c r="BI119" s="3">
        <v>41.8</v>
      </c>
      <c r="BJ119" s="3">
        <v>1.1000000000000001</v>
      </c>
      <c r="BK119" s="3">
        <f t="shared" si="19"/>
        <v>45.980000000000004</v>
      </c>
      <c r="BL119" s="3">
        <v>65</v>
      </c>
      <c r="BM119" s="3">
        <v>171.83</v>
      </c>
      <c r="BN119" s="3">
        <f>+Shepparton!F139-Shepparton!C139</f>
        <v>300515</v>
      </c>
      <c r="BO119" s="3">
        <f t="shared" si="20"/>
        <v>1749</v>
      </c>
      <c r="BQ119" s="8"/>
      <c r="BS119" s="6"/>
      <c r="BT119" s="6"/>
    </row>
    <row r="120" spans="1:72">
      <c r="A120" s="3" t="s">
        <v>103</v>
      </c>
      <c r="B120" s="391">
        <v>138.24</v>
      </c>
      <c r="C120" s="391">
        <v>24.99</v>
      </c>
      <c r="D120" s="391">
        <v>3.68</v>
      </c>
      <c r="E120" s="391">
        <v>8.0500000000000007</v>
      </c>
      <c r="F120" s="391"/>
      <c r="G120" s="391"/>
      <c r="H120" s="391">
        <v>2</v>
      </c>
      <c r="I120" s="391"/>
      <c r="J120" s="391">
        <v>8.08</v>
      </c>
      <c r="K120" s="391">
        <v>53.892000000000003</v>
      </c>
      <c r="L120" s="391">
        <v>23.288</v>
      </c>
      <c r="M120" s="391">
        <v>16.07</v>
      </c>
      <c r="N120" s="391">
        <v>59.72</v>
      </c>
      <c r="O120" s="391">
        <v>45.6</v>
      </c>
      <c r="P120" s="391">
        <v>3.54</v>
      </c>
      <c r="Q120" s="391">
        <v>1.74</v>
      </c>
      <c r="R120" s="391">
        <v>1.74</v>
      </c>
      <c r="S120" s="391">
        <v>2.7</v>
      </c>
      <c r="T120" s="391">
        <v>0.9</v>
      </c>
      <c r="U120" s="391">
        <v>1</v>
      </c>
      <c r="V120" s="391">
        <v>0.9</v>
      </c>
      <c r="W120" s="391">
        <v>1</v>
      </c>
      <c r="X120" s="391">
        <v>0</v>
      </c>
      <c r="Y120" s="391">
        <v>0</v>
      </c>
      <c r="Z120" s="391">
        <v>1.2</v>
      </c>
      <c r="AA120" s="391"/>
      <c r="AB120" s="391"/>
      <c r="AC120" s="391"/>
      <c r="AD120" s="391"/>
      <c r="AE120" s="391"/>
      <c r="AF120" s="391"/>
      <c r="AG120" s="391"/>
      <c r="AH120" s="391"/>
      <c r="AI120" s="391"/>
      <c r="AJ120" s="391"/>
      <c r="AK120" s="391"/>
      <c r="AL120" s="391"/>
      <c r="AM120" s="391"/>
      <c r="AN120" s="391"/>
      <c r="AO120" s="391"/>
      <c r="AP120" s="391"/>
      <c r="AQ120" s="391"/>
      <c r="AR120" s="391"/>
      <c r="AS120" s="391"/>
      <c r="AT120" s="391"/>
      <c r="AU120" s="391"/>
      <c r="AV120" s="391"/>
      <c r="AW120" s="391"/>
      <c r="AX120" s="391"/>
      <c r="AY120" s="391"/>
      <c r="AZ120" s="391"/>
      <c r="BA120" s="391"/>
      <c r="BB120" s="9">
        <v>291017</v>
      </c>
      <c r="BC120" s="9">
        <v>304349</v>
      </c>
      <c r="BD120" s="9">
        <v>3000</v>
      </c>
      <c r="BE120" s="9">
        <f t="shared" si="17"/>
        <v>13332</v>
      </c>
      <c r="BF120" s="3">
        <v>59.89</v>
      </c>
      <c r="BG120" s="3">
        <v>1.1000000000000001</v>
      </c>
      <c r="BH120" s="3">
        <f t="shared" si="18"/>
        <v>65.879000000000005</v>
      </c>
      <c r="BI120" s="3">
        <v>45.6</v>
      </c>
      <c r="BJ120" s="3">
        <v>1.1000000000000001</v>
      </c>
      <c r="BK120" s="3">
        <f t="shared" si="19"/>
        <v>50.160000000000004</v>
      </c>
      <c r="BL120" s="3">
        <v>66</v>
      </c>
      <c r="BM120" s="3">
        <v>175.1</v>
      </c>
      <c r="BN120" s="3">
        <f>+Shepparton!F140-Shepparton!C140</f>
        <v>303820</v>
      </c>
      <c r="BO120" s="3">
        <f t="shared" si="20"/>
        <v>1735</v>
      </c>
      <c r="BQ120" s="8"/>
      <c r="BS120" s="6"/>
      <c r="BT120" s="6"/>
    </row>
    <row r="121" spans="1:72">
      <c r="A121" s="3" t="s">
        <v>104</v>
      </c>
      <c r="B121" s="391">
        <v>147.19999999999999</v>
      </c>
      <c r="C121" s="391">
        <v>24.99</v>
      </c>
      <c r="D121" s="391">
        <v>3.68</v>
      </c>
      <c r="E121" s="391">
        <v>12.59</v>
      </c>
      <c r="F121" s="391"/>
      <c r="G121" s="391"/>
      <c r="H121" s="391">
        <v>2</v>
      </c>
      <c r="I121" s="391"/>
      <c r="J121" s="391">
        <v>8.08</v>
      </c>
      <c r="K121" s="391">
        <v>55.256</v>
      </c>
      <c r="L121" s="391">
        <v>23.288</v>
      </c>
      <c r="M121" s="391">
        <v>16.649999999999999</v>
      </c>
      <c r="N121" s="391">
        <v>62.8</v>
      </c>
      <c r="O121" s="391">
        <v>52.9</v>
      </c>
      <c r="P121" s="391">
        <v>3.54</v>
      </c>
      <c r="Q121" s="391">
        <v>1.74</v>
      </c>
      <c r="R121" s="391">
        <v>1.74</v>
      </c>
      <c r="S121" s="391">
        <v>2.7</v>
      </c>
      <c r="T121" s="391">
        <v>0.9</v>
      </c>
      <c r="U121" s="391">
        <v>1</v>
      </c>
      <c r="V121" s="391">
        <v>0.9</v>
      </c>
      <c r="W121" s="391">
        <v>1</v>
      </c>
      <c r="X121" s="391">
        <v>0</v>
      </c>
      <c r="Y121" s="391">
        <v>0</v>
      </c>
      <c r="Z121" s="391">
        <v>1.2</v>
      </c>
      <c r="AA121" s="391"/>
      <c r="AB121" s="391"/>
      <c r="AC121" s="391"/>
      <c r="AD121" s="391"/>
      <c r="AE121" s="391"/>
      <c r="AF121" s="391"/>
      <c r="AG121" s="391"/>
      <c r="AH121" s="391"/>
      <c r="AI121" s="391"/>
      <c r="AJ121" s="391"/>
      <c r="AK121" s="391"/>
      <c r="AL121" s="391"/>
      <c r="AM121" s="391"/>
      <c r="AN121" s="391"/>
      <c r="AO121" s="391"/>
      <c r="AP121" s="391"/>
      <c r="AQ121" s="391"/>
      <c r="AR121" s="391"/>
      <c r="AS121" s="391"/>
      <c r="AT121" s="391"/>
      <c r="AU121" s="391"/>
      <c r="AV121" s="391"/>
      <c r="AW121" s="391"/>
      <c r="AX121" s="391"/>
      <c r="AY121" s="391"/>
      <c r="AZ121" s="391"/>
      <c r="BA121" s="391"/>
      <c r="BB121" s="9">
        <v>303815</v>
      </c>
      <c r="BC121" s="9">
        <v>316965</v>
      </c>
      <c r="BD121" s="9">
        <v>3000</v>
      </c>
      <c r="BE121" s="9">
        <f t="shared" si="17"/>
        <v>13150</v>
      </c>
      <c r="BF121" s="3">
        <v>61.71</v>
      </c>
      <c r="BG121" s="3">
        <v>1.1000000000000001</v>
      </c>
      <c r="BH121" s="3">
        <f t="shared" si="18"/>
        <v>67.881</v>
      </c>
      <c r="BI121" s="3">
        <v>47.12</v>
      </c>
      <c r="BJ121" s="3">
        <v>1.1000000000000001</v>
      </c>
      <c r="BK121" s="3">
        <f t="shared" si="19"/>
        <v>51.832000000000001</v>
      </c>
      <c r="BL121" s="3">
        <v>69</v>
      </c>
      <c r="BM121" s="3">
        <v>188.66</v>
      </c>
      <c r="BN121" s="3">
        <f>+Shepparton!F141-Shepparton!C141</f>
        <v>316925</v>
      </c>
      <c r="BO121" s="3">
        <f t="shared" si="20"/>
        <v>1680</v>
      </c>
      <c r="BQ121" s="8"/>
      <c r="BS121" s="6"/>
      <c r="BT121" s="6"/>
    </row>
    <row r="122" spans="1:72">
      <c r="A122" s="3" t="s">
        <v>53</v>
      </c>
      <c r="B122" s="391">
        <v>150.9</v>
      </c>
      <c r="C122" s="391">
        <v>24.65</v>
      </c>
      <c r="D122" s="391">
        <v>4.03</v>
      </c>
      <c r="E122" s="391">
        <v>12.08</v>
      </c>
      <c r="F122" s="391"/>
      <c r="G122" s="391"/>
      <c r="H122" s="391">
        <v>2</v>
      </c>
      <c r="I122" s="391"/>
      <c r="J122" s="391">
        <v>6.83</v>
      </c>
      <c r="K122" s="391">
        <v>44.064999999999998</v>
      </c>
      <c r="L122" s="391">
        <v>18.295000000000002</v>
      </c>
      <c r="M122" s="391">
        <v>15.895</v>
      </c>
      <c r="N122" s="391">
        <v>55.14</v>
      </c>
      <c r="O122" s="391">
        <v>65.709999999999994</v>
      </c>
      <c r="P122" s="391">
        <v>4.1399999999999997</v>
      </c>
      <c r="Q122" s="391">
        <v>2.3199999999999998</v>
      </c>
      <c r="R122" s="391">
        <v>2.3199999999999998</v>
      </c>
      <c r="S122" s="391">
        <v>2.7</v>
      </c>
      <c r="T122" s="391">
        <v>1.1000000000000001</v>
      </c>
      <c r="U122" s="391">
        <v>1</v>
      </c>
      <c r="V122" s="391">
        <v>0.9</v>
      </c>
      <c r="W122" s="391">
        <v>1</v>
      </c>
      <c r="X122" s="391">
        <v>0</v>
      </c>
      <c r="Y122" s="391">
        <v>0</v>
      </c>
      <c r="Z122" s="391">
        <v>1.2</v>
      </c>
      <c r="AA122" s="391"/>
      <c r="AB122" s="391"/>
      <c r="AC122" s="391"/>
      <c r="AD122" s="391"/>
      <c r="AE122" s="391"/>
      <c r="AF122" s="391"/>
      <c r="AG122" s="391"/>
      <c r="AH122" s="391"/>
      <c r="AI122" s="391"/>
      <c r="AJ122" s="391"/>
      <c r="AK122" s="391"/>
      <c r="AL122" s="391"/>
      <c r="AM122" s="391"/>
      <c r="AN122" s="391"/>
      <c r="AO122" s="391"/>
      <c r="AP122" s="391"/>
      <c r="AQ122" s="391"/>
      <c r="AR122" s="391"/>
      <c r="AS122" s="391"/>
      <c r="AT122" s="391"/>
      <c r="AU122" s="391"/>
      <c r="AV122" s="391"/>
      <c r="AW122" s="391"/>
      <c r="AX122" s="391"/>
      <c r="AY122" s="391"/>
      <c r="AZ122" s="391"/>
      <c r="BA122" s="391"/>
      <c r="BB122" s="9">
        <f>+BB62</f>
        <v>301071</v>
      </c>
      <c r="BC122" s="9">
        <f>+BC62</f>
        <v>314204</v>
      </c>
      <c r="BD122" s="9">
        <v>3000</v>
      </c>
      <c r="BE122" s="9">
        <f t="shared" si="17"/>
        <v>13133</v>
      </c>
      <c r="BF122" s="3">
        <v>57.48</v>
      </c>
      <c r="BG122" s="3">
        <v>1.1000000000000001</v>
      </c>
      <c r="BH122" s="3">
        <f t="shared" si="18"/>
        <v>63.228000000000002</v>
      </c>
      <c r="BI122" s="3">
        <v>56</v>
      </c>
      <c r="BJ122" s="3">
        <v>1.1000000000000001</v>
      </c>
      <c r="BK122" s="3">
        <f t="shared" si="19"/>
        <v>61.600000000000009</v>
      </c>
      <c r="BL122" s="3">
        <v>58</v>
      </c>
      <c r="BM122" s="3">
        <v>191.76</v>
      </c>
      <c r="BN122" s="3">
        <f>+Shepparton!F142-Shepparton!C142</f>
        <v>314295</v>
      </c>
      <c r="BO122" s="3">
        <f t="shared" si="20"/>
        <v>1639</v>
      </c>
      <c r="BQ122" s="8"/>
      <c r="BS122" s="6"/>
      <c r="BT122" s="6"/>
    </row>
    <row r="123" spans="1:72">
      <c r="A123" s="3" t="s">
        <v>105</v>
      </c>
      <c r="B123" s="394">
        <v>128.99</v>
      </c>
      <c r="C123" s="394">
        <v>37.56</v>
      </c>
      <c r="D123" s="394">
        <v>2.4500000000000002</v>
      </c>
      <c r="E123" s="394">
        <v>7.44</v>
      </c>
      <c r="F123" s="394"/>
      <c r="G123" s="394"/>
      <c r="H123" s="394">
        <v>2</v>
      </c>
      <c r="I123" s="394"/>
      <c r="J123" s="394">
        <v>0.63</v>
      </c>
      <c r="K123" s="394">
        <v>32.79</v>
      </c>
      <c r="L123" s="391">
        <v>9.44</v>
      </c>
      <c r="M123" s="391">
        <v>15.51</v>
      </c>
      <c r="N123" s="391">
        <v>47.61</v>
      </c>
      <c r="O123" s="391">
        <v>55.53</v>
      </c>
      <c r="P123" s="391">
        <v>3.04</v>
      </c>
      <c r="Q123" s="391">
        <v>1.4</v>
      </c>
      <c r="R123" s="391">
        <v>1.4</v>
      </c>
      <c r="S123" s="391">
        <v>3.1</v>
      </c>
      <c r="T123" s="391">
        <v>0.9</v>
      </c>
      <c r="U123" s="391">
        <v>1</v>
      </c>
      <c r="V123" s="391">
        <v>0.9</v>
      </c>
      <c r="W123" s="391">
        <v>1</v>
      </c>
      <c r="X123" s="391">
        <v>0</v>
      </c>
      <c r="Y123" s="391">
        <v>0</v>
      </c>
      <c r="Z123" s="392">
        <v>0.8</v>
      </c>
      <c r="AA123" s="391"/>
      <c r="AB123" s="391"/>
      <c r="AC123" s="391"/>
      <c r="AD123" s="391"/>
      <c r="AE123" s="391"/>
      <c r="AF123" s="391"/>
      <c r="AG123" s="391"/>
      <c r="AH123" s="391"/>
      <c r="AI123" s="391"/>
      <c r="AJ123" s="391"/>
      <c r="AK123" s="391"/>
      <c r="AL123" s="391"/>
      <c r="AM123" s="391"/>
      <c r="AN123" s="391"/>
      <c r="AO123" s="391"/>
      <c r="AP123" s="391"/>
      <c r="AQ123" s="391"/>
      <c r="AR123" s="391"/>
      <c r="AS123" s="391"/>
      <c r="AT123" s="391"/>
      <c r="AU123" s="391"/>
      <c r="AV123" s="391"/>
      <c r="AW123" s="391"/>
      <c r="AX123" s="391"/>
      <c r="AY123" s="391"/>
      <c r="AZ123" s="391"/>
      <c r="BA123" s="391"/>
      <c r="BB123" s="9">
        <v>282110</v>
      </c>
      <c r="BC123" s="9">
        <v>295754</v>
      </c>
      <c r="BD123" s="9">
        <v>3000</v>
      </c>
      <c r="BE123" s="9">
        <f t="shared" si="17"/>
        <v>13644</v>
      </c>
      <c r="BF123" s="3">
        <v>50.94</v>
      </c>
      <c r="BG123" s="3">
        <v>1.1000000000000001</v>
      </c>
      <c r="BH123" s="3">
        <f t="shared" si="18"/>
        <v>56.033999999999999</v>
      </c>
      <c r="BI123" s="3">
        <v>43.52</v>
      </c>
      <c r="BJ123" s="3">
        <v>1.1000000000000001</v>
      </c>
      <c r="BK123" s="3">
        <f t="shared" si="19"/>
        <v>47.872000000000007</v>
      </c>
      <c r="BL123" s="3">
        <v>55</v>
      </c>
      <c r="BM123" s="3">
        <v>176.43</v>
      </c>
      <c r="BN123" s="3">
        <f>+Shepparton!F143-Shepparton!C143</f>
        <v>293760</v>
      </c>
      <c r="BO123" s="3">
        <f t="shared" si="20"/>
        <v>1665</v>
      </c>
      <c r="BQ123" s="8"/>
      <c r="BS123" s="6"/>
      <c r="BT123" s="6"/>
    </row>
    <row r="124" spans="1:72">
      <c r="A124" s="3" t="s">
        <v>106</v>
      </c>
      <c r="B124" s="394">
        <v>119.67</v>
      </c>
      <c r="C124" s="394">
        <v>23.62</v>
      </c>
      <c r="D124" s="394">
        <v>3.02</v>
      </c>
      <c r="E124" s="394">
        <v>6.15</v>
      </c>
      <c r="F124" s="394"/>
      <c r="G124" s="394"/>
      <c r="H124" s="394">
        <v>2</v>
      </c>
      <c r="I124" s="394"/>
      <c r="J124" s="394">
        <v>2.82</v>
      </c>
      <c r="K124" s="394">
        <v>35.6</v>
      </c>
      <c r="L124" s="391">
        <v>11.17</v>
      </c>
      <c r="M124" s="391">
        <v>12.25</v>
      </c>
      <c r="N124" s="391">
        <v>47.58</v>
      </c>
      <c r="O124" s="391">
        <v>52.68</v>
      </c>
      <c r="P124" s="391">
        <v>2.41</v>
      </c>
      <c r="Q124" s="391">
        <v>1.5</v>
      </c>
      <c r="R124" s="391">
        <v>1.5</v>
      </c>
      <c r="S124" s="391">
        <v>3</v>
      </c>
      <c r="T124" s="391">
        <v>0.9</v>
      </c>
      <c r="U124" s="391">
        <v>1</v>
      </c>
      <c r="V124" s="391">
        <v>0.9</v>
      </c>
      <c r="W124" s="391">
        <v>1</v>
      </c>
      <c r="X124" s="391">
        <v>0</v>
      </c>
      <c r="Y124" s="391">
        <v>0</v>
      </c>
      <c r="Z124" s="392">
        <v>1.1000000000000001</v>
      </c>
      <c r="AA124" s="391"/>
      <c r="AB124" s="391"/>
      <c r="AC124" s="391"/>
      <c r="AD124" s="391"/>
      <c r="AE124" s="391"/>
      <c r="AF124" s="391"/>
      <c r="AG124" s="391"/>
      <c r="AH124" s="391"/>
      <c r="AI124" s="391"/>
      <c r="AJ124" s="391"/>
      <c r="AK124" s="391"/>
      <c r="AL124" s="391"/>
      <c r="AM124" s="391"/>
      <c r="AN124" s="391"/>
      <c r="AO124" s="391"/>
      <c r="AP124" s="391"/>
      <c r="AQ124" s="391"/>
      <c r="AR124" s="391"/>
      <c r="AS124" s="391"/>
      <c r="AT124" s="391"/>
      <c r="AU124" s="391"/>
      <c r="AV124" s="391"/>
      <c r="AW124" s="391"/>
      <c r="AX124" s="391"/>
      <c r="AY124" s="391"/>
      <c r="AZ124" s="391"/>
      <c r="BA124" s="391"/>
      <c r="BB124" s="9">
        <v>267755</v>
      </c>
      <c r="BC124" s="9">
        <v>281000</v>
      </c>
      <c r="BD124" s="9">
        <v>3000</v>
      </c>
      <c r="BE124" s="9">
        <f t="shared" si="17"/>
        <v>13245</v>
      </c>
      <c r="BF124" s="3">
        <v>51.04</v>
      </c>
      <c r="BG124" s="3">
        <v>1.1000000000000001</v>
      </c>
      <c r="BH124" s="3">
        <f t="shared" si="18"/>
        <v>56.144000000000005</v>
      </c>
      <c r="BI124" s="3">
        <v>34.42</v>
      </c>
      <c r="BJ124" s="3">
        <v>1.1000000000000001</v>
      </c>
      <c r="BK124" s="3">
        <f t="shared" si="19"/>
        <v>37.862000000000002</v>
      </c>
      <c r="BL124" s="3">
        <v>51</v>
      </c>
      <c r="BM124" s="3">
        <v>152.46</v>
      </c>
      <c r="BN124" s="3">
        <f>+Shepparton!F144-Shepparton!C144</f>
        <v>278820</v>
      </c>
      <c r="BO124" s="3">
        <f t="shared" si="20"/>
        <v>1829</v>
      </c>
      <c r="BQ124" s="8"/>
      <c r="BS124" s="6"/>
      <c r="BT124" s="6"/>
    </row>
    <row r="125" spans="1:72">
      <c r="A125" s="3" t="s">
        <v>107</v>
      </c>
      <c r="B125" s="391">
        <v>125.38</v>
      </c>
      <c r="C125" s="391">
        <v>23.62</v>
      </c>
      <c r="D125" s="391">
        <v>3.02</v>
      </c>
      <c r="E125" s="391">
        <v>0</v>
      </c>
      <c r="F125" s="391"/>
      <c r="G125" s="391"/>
      <c r="H125" s="391">
        <v>2</v>
      </c>
      <c r="I125" s="391"/>
      <c r="J125" s="391">
        <v>2.68</v>
      </c>
      <c r="K125" s="391">
        <v>35.5</v>
      </c>
      <c r="L125" s="391">
        <v>11.07</v>
      </c>
      <c r="M125" s="391">
        <v>12.26</v>
      </c>
      <c r="N125" s="391">
        <v>50.58</v>
      </c>
      <c r="O125" s="391">
        <v>52.01</v>
      </c>
      <c r="P125" s="391">
        <v>2.42</v>
      </c>
      <c r="Q125" s="391">
        <v>1.5</v>
      </c>
      <c r="R125" s="391">
        <v>1.5</v>
      </c>
      <c r="S125" s="391">
        <v>3</v>
      </c>
      <c r="T125" s="391">
        <v>0.9</v>
      </c>
      <c r="U125" s="391">
        <v>1</v>
      </c>
      <c r="V125" s="391">
        <v>0.9</v>
      </c>
      <c r="W125" s="391">
        <v>1</v>
      </c>
      <c r="X125" s="391">
        <v>0</v>
      </c>
      <c r="Y125" s="391">
        <v>0</v>
      </c>
      <c r="Z125" s="391">
        <v>1.2</v>
      </c>
      <c r="AA125" s="391"/>
      <c r="AB125" s="391"/>
      <c r="AC125" s="391"/>
      <c r="AD125" s="391"/>
      <c r="AE125" s="391"/>
      <c r="AF125" s="391"/>
      <c r="AG125" s="391"/>
      <c r="AH125" s="391"/>
      <c r="AI125" s="391"/>
      <c r="AJ125" s="391"/>
      <c r="AK125" s="391"/>
      <c r="AL125" s="391"/>
      <c r="AM125" s="391"/>
      <c r="AN125" s="391"/>
      <c r="AO125" s="391"/>
      <c r="AP125" s="391"/>
      <c r="AQ125" s="391"/>
      <c r="AR125" s="391"/>
      <c r="AS125" s="391"/>
      <c r="AT125" s="391"/>
      <c r="AU125" s="391"/>
      <c r="AV125" s="391"/>
      <c r="AW125" s="391"/>
      <c r="AX125" s="391"/>
      <c r="AY125" s="391"/>
      <c r="AZ125" s="391"/>
      <c r="BA125" s="391"/>
      <c r="BB125" s="9">
        <v>270751</v>
      </c>
      <c r="BC125" s="9">
        <v>283948</v>
      </c>
      <c r="BD125" s="9">
        <v>3000</v>
      </c>
      <c r="BE125" s="9">
        <f t="shared" si="17"/>
        <v>13197</v>
      </c>
      <c r="BF125" s="3">
        <v>56.5</v>
      </c>
      <c r="BG125" s="3">
        <v>1.1000000000000001</v>
      </c>
      <c r="BH125" s="3">
        <f t="shared" si="18"/>
        <v>62.150000000000006</v>
      </c>
      <c r="BI125" s="3">
        <v>34.200000000000003</v>
      </c>
      <c r="BJ125" s="3">
        <v>1.1000000000000001</v>
      </c>
      <c r="BK125" s="3">
        <f t="shared" si="19"/>
        <v>37.620000000000005</v>
      </c>
      <c r="BL125" s="3">
        <v>54</v>
      </c>
      <c r="BM125" s="3">
        <v>152.02000000000001</v>
      </c>
      <c r="BN125" s="3">
        <f>+Shepparton!F145-Shepparton!C145</f>
        <v>282425</v>
      </c>
      <c r="BO125" s="3">
        <f t="shared" si="20"/>
        <v>1858</v>
      </c>
      <c r="BQ125" s="8"/>
      <c r="BS125" s="6"/>
      <c r="BT125" s="6"/>
    </row>
    <row r="128" spans="1:72">
      <c r="A128" s="1" t="s">
        <v>108</v>
      </c>
      <c r="BF128" s="3" t="s">
        <v>10</v>
      </c>
      <c r="BG128" s="3" t="s">
        <v>11</v>
      </c>
      <c r="BI128" s="3" t="s">
        <v>3</v>
      </c>
      <c r="BJ128" s="3" t="s">
        <v>11</v>
      </c>
      <c r="BL128" s="3" t="s">
        <v>4</v>
      </c>
    </row>
    <row r="129" spans="1:72">
      <c r="A129" s="3" t="s">
        <v>109</v>
      </c>
      <c r="B129" s="391">
        <v>151.93</v>
      </c>
      <c r="C129" s="391">
        <v>38.5</v>
      </c>
      <c r="D129" s="391">
        <v>2.42</v>
      </c>
      <c r="E129" s="391">
        <v>15.27</v>
      </c>
      <c r="F129" s="391"/>
      <c r="G129" s="391"/>
      <c r="H129" s="391">
        <v>3</v>
      </c>
      <c r="I129" s="391"/>
      <c r="J129" s="391">
        <v>11.23</v>
      </c>
      <c r="K129" s="391">
        <v>48.88</v>
      </c>
      <c r="L129" s="391">
        <v>15.15</v>
      </c>
      <c r="M129" s="391">
        <v>8.01</v>
      </c>
      <c r="N129" s="391">
        <v>44.61</v>
      </c>
      <c r="O129" s="391">
        <v>59.82</v>
      </c>
      <c r="P129" s="391">
        <v>3.7</v>
      </c>
      <c r="Q129" s="391">
        <v>2.8</v>
      </c>
      <c r="R129" s="391">
        <v>2.8</v>
      </c>
      <c r="S129" s="391">
        <v>2.7</v>
      </c>
      <c r="T129" s="391">
        <v>0.9</v>
      </c>
      <c r="U129" s="391">
        <v>1</v>
      </c>
      <c r="V129" s="391">
        <v>0.9</v>
      </c>
      <c r="W129" s="391">
        <v>1</v>
      </c>
      <c r="X129" s="391">
        <v>0</v>
      </c>
      <c r="Y129" s="391">
        <v>0</v>
      </c>
      <c r="Z129" s="391">
        <v>1.2</v>
      </c>
      <c r="AA129" s="391"/>
      <c r="AB129" s="391"/>
      <c r="AC129" s="391"/>
      <c r="AD129" s="391"/>
      <c r="AE129" s="391"/>
      <c r="AF129" s="391"/>
      <c r="AG129" s="391"/>
      <c r="AH129" s="391"/>
      <c r="AI129" s="391"/>
      <c r="AJ129" s="391"/>
      <c r="AK129" s="391"/>
      <c r="AL129" s="391"/>
      <c r="AM129" s="391"/>
      <c r="AN129" s="391"/>
      <c r="AO129" s="391"/>
      <c r="AP129" s="391"/>
      <c r="AQ129" s="391"/>
      <c r="AR129" s="391"/>
      <c r="AS129" s="391"/>
      <c r="AT129" s="391"/>
      <c r="AU129" s="391"/>
      <c r="AV129" s="391"/>
      <c r="AW129" s="391"/>
      <c r="AX129" s="391"/>
      <c r="AY129" s="391"/>
      <c r="AZ129" s="391"/>
      <c r="BA129" s="391"/>
      <c r="BB129" s="9">
        <v>305702</v>
      </c>
      <c r="BC129" s="9">
        <v>318837</v>
      </c>
      <c r="BD129" s="9">
        <v>3000</v>
      </c>
      <c r="BE129" s="9">
        <f t="shared" ref="BE129:BE136" si="21">+BC129-BB129</f>
        <v>13135</v>
      </c>
      <c r="BF129" s="3">
        <v>71.2</v>
      </c>
      <c r="BG129" s="3">
        <v>1.1000000000000001</v>
      </c>
      <c r="BH129" s="3">
        <f t="shared" ref="BH129:BH136" si="22">+BG129*BF129</f>
        <v>78.320000000000007</v>
      </c>
      <c r="BI129" s="3">
        <v>45</v>
      </c>
      <c r="BJ129" s="3">
        <v>1.1000000000000001</v>
      </c>
      <c r="BK129" s="3">
        <f t="shared" ref="BK129:BK136" si="23">+BJ129*BI129</f>
        <v>49.500000000000007</v>
      </c>
      <c r="BL129" s="3">
        <v>47.4</v>
      </c>
      <c r="BM129" s="3">
        <v>208.12</v>
      </c>
      <c r="BN129" s="3">
        <f>+Shepparton!F149-Shepparton!C149</f>
        <v>319750</v>
      </c>
      <c r="BO129" s="3">
        <f t="shared" ref="BO129:BO136" si="24">+ROUND(BN129/BM129,)</f>
        <v>1536</v>
      </c>
      <c r="BQ129" s="8"/>
      <c r="BS129" s="6"/>
      <c r="BT129" s="6"/>
    </row>
    <row r="130" spans="1:72">
      <c r="A130" s="3" t="s">
        <v>110</v>
      </c>
      <c r="B130" s="391">
        <v>154.6</v>
      </c>
      <c r="C130" s="391">
        <v>37.520000000000003</v>
      </c>
      <c r="D130" s="391">
        <v>2.92</v>
      </c>
      <c r="E130" s="391">
        <v>15.57</v>
      </c>
      <c r="F130" s="391"/>
      <c r="G130" s="391"/>
      <c r="H130" s="391">
        <v>2</v>
      </c>
      <c r="I130" s="391"/>
      <c r="J130" s="391">
        <v>14.28</v>
      </c>
      <c r="K130" s="391">
        <v>48.29</v>
      </c>
      <c r="L130" s="391">
        <v>13.31</v>
      </c>
      <c r="M130" s="391">
        <v>6.53</v>
      </c>
      <c r="N130" s="391">
        <v>47.72</v>
      </c>
      <c r="O130" s="391">
        <v>63.77</v>
      </c>
      <c r="P130" s="391">
        <v>3.72</v>
      </c>
      <c r="Q130" s="391">
        <v>2.82</v>
      </c>
      <c r="R130" s="391">
        <v>2.82</v>
      </c>
      <c r="S130" s="391">
        <v>2.82</v>
      </c>
      <c r="T130" s="391">
        <v>0.9</v>
      </c>
      <c r="U130" s="391">
        <v>1</v>
      </c>
      <c r="V130" s="391">
        <v>0.9</v>
      </c>
      <c r="W130" s="391">
        <v>1</v>
      </c>
      <c r="X130" s="391">
        <v>0</v>
      </c>
      <c r="Y130" s="391">
        <v>0</v>
      </c>
      <c r="Z130" s="391">
        <v>1.2</v>
      </c>
      <c r="AA130" s="391"/>
      <c r="AB130" s="391"/>
      <c r="AC130" s="391"/>
      <c r="AD130" s="391"/>
      <c r="AE130" s="391"/>
      <c r="AF130" s="391"/>
      <c r="AG130" s="391"/>
      <c r="AH130" s="391"/>
      <c r="AI130" s="391"/>
      <c r="AJ130" s="391"/>
      <c r="AK130" s="391"/>
      <c r="AL130" s="391"/>
      <c r="AM130" s="391"/>
      <c r="AN130" s="391"/>
      <c r="AO130" s="391"/>
      <c r="AP130" s="391"/>
      <c r="AQ130" s="391"/>
      <c r="AR130" s="391"/>
      <c r="AS130" s="391"/>
      <c r="AT130" s="391"/>
      <c r="AU130" s="391"/>
      <c r="AV130" s="391"/>
      <c r="AW130" s="391"/>
      <c r="AX130" s="391"/>
      <c r="AY130" s="391"/>
      <c r="AZ130" s="391"/>
      <c r="BA130" s="391"/>
      <c r="BB130" s="9">
        <v>308291</v>
      </c>
      <c r="BC130" s="9">
        <v>321501</v>
      </c>
      <c r="BD130" s="9">
        <v>3000</v>
      </c>
      <c r="BE130" s="9">
        <f t="shared" si="21"/>
        <v>13210</v>
      </c>
      <c r="BF130" s="3">
        <v>63</v>
      </c>
      <c r="BG130" s="3">
        <v>1.1000000000000001</v>
      </c>
      <c r="BH130" s="3">
        <f t="shared" si="22"/>
        <v>69.300000000000011</v>
      </c>
      <c r="BI130" s="3">
        <v>53.5</v>
      </c>
      <c r="BJ130" s="3">
        <v>1.1000000000000001</v>
      </c>
      <c r="BK130" s="3">
        <f t="shared" si="23"/>
        <v>58.85</v>
      </c>
      <c r="BL130" s="3">
        <v>45.7</v>
      </c>
      <c r="BM130" s="3">
        <v>210.61</v>
      </c>
      <c r="BN130" s="3">
        <f>+Shepparton!F150-Shepparton!C150</f>
        <v>321975</v>
      </c>
      <c r="BO130" s="3">
        <f t="shared" si="24"/>
        <v>1529</v>
      </c>
      <c r="BQ130" s="8"/>
      <c r="BS130" s="6"/>
      <c r="BT130" s="6"/>
    </row>
    <row r="131" spans="1:72">
      <c r="A131" s="3" t="s">
        <v>111</v>
      </c>
      <c r="B131" s="391">
        <v>174</v>
      </c>
      <c r="C131" s="391">
        <v>38.450000000000003</v>
      </c>
      <c r="D131" s="391">
        <v>4.17</v>
      </c>
      <c r="E131" s="391">
        <v>11.66</v>
      </c>
      <c r="F131" s="391"/>
      <c r="G131" s="391"/>
      <c r="H131" s="391">
        <v>2</v>
      </c>
      <c r="I131" s="391"/>
      <c r="J131" s="391">
        <v>12.9</v>
      </c>
      <c r="K131" s="391">
        <v>54.9</v>
      </c>
      <c r="L131" s="391">
        <v>16.600000000000001</v>
      </c>
      <c r="M131" s="391">
        <v>6.8</v>
      </c>
      <c r="N131" s="391">
        <v>56.02</v>
      </c>
      <c r="O131" s="391">
        <v>74.5</v>
      </c>
      <c r="P131" s="391">
        <v>3.6</v>
      </c>
      <c r="Q131" s="391">
        <v>2.7</v>
      </c>
      <c r="R131" s="391">
        <v>2.7</v>
      </c>
      <c r="S131" s="391">
        <v>2.7</v>
      </c>
      <c r="T131" s="391">
        <v>0.9</v>
      </c>
      <c r="U131" s="391">
        <v>1</v>
      </c>
      <c r="V131" s="391">
        <v>0.9</v>
      </c>
      <c r="W131" s="391">
        <v>1</v>
      </c>
      <c r="X131" s="391">
        <v>0</v>
      </c>
      <c r="Y131" s="391">
        <v>0</v>
      </c>
      <c r="Z131" s="392">
        <v>0</v>
      </c>
      <c r="AA131" s="391"/>
      <c r="AB131" s="391"/>
      <c r="AC131" s="391"/>
      <c r="AD131" s="391"/>
      <c r="AE131" s="391"/>
      <c r="AF131" s="391"/>
      <c r="AG131" s="391"/>
      <c r="AH131" s="391"/>
      <c r="AI131" s="391"/>
      <c r="AJ131" s="391"/>
      <c r="AK131" s="391"/>
      <c r="AL131" s="391"/>
      <c r="AM131" s="391"/>
      <c r="AN131" s="391"/>
      <c r="AO131" s="391"/>
      <c r="AP131" s="391"/>
      <c r="AQ131" s="391"/>
      <c r="AR131" s="391"/>
      <c r="AS131" s="391"/>
      <c r="AT131" s="391"/>
      <c r="AU131" s="391"/>
      <c r="AV131" s="391"/>
      <c r="AW131" s="391"/>
      <c r="AX131" s="391"/>
      <c r="AY131" s="391"/>
      <c r="AZ131" s="391"/>
      <c r="BA131" s="391"/>
      <c r="BB131" s="9">
        <v>325352</v>
      </c>
      <c r="BC131" s="9">
        <v>338587</v>
      </c>
      <c r="BD131" s="9">
        <v>3000</v>
      </c>
      <c r="BE131" s="9">
        <f t="shared" si="21"/>
        <v>13235</v>
      </c>
      <c r="BF131" s="3">
        <v>75.400000000000006</v>
      </c>
      <c r="BG131" s="3">
        <v>1.1000000000000001</v>
      </c>
      <c r="BH131" s="3">
        <f t="shared" si="22"/>
        <v>82.940000000000012</v>
      </c>
      <c r="BI131" s="3">
        <v>60.5</v>
      </c>
      <c r="BJ131" s="3">
        <v>1.1000000000000001</v>
      </c>
      <c r="BK131" s="3">
        <f t="shared" si="23"/>
        <v>66.550000000000011</v>
      </c>
      <c r="BL131" s="3">
        <v>48.5</v>
      </c>
      <c r="BM131" s="3">
        <v>228.28</v>
      </c>
      <c r="BN131" s="3">
        <f>+Shepparton!F151-Shepparton!C151</f>
        <v>340900</v>
      </c>
      <c r="BO131" s="3">
        <f t="shared" si="24"/>
        <v>1493</v>
      </c>
      <c r="BQ131" s="8"/>
      <c r="BS131" s="6"/>
      <c r="BT131" s="6"/>
    </row>
    <row r="132" spans="1:72">
      <c r="A132" s="3" t="s">
        <v>112</v>
      </c>
      <c r="B132" s="391">
        <v>165.87</v>
      </c>
      <c r="C132" s="391">
        <v>38.450000000000003</v>
      </c>
      <c r="D132" s="391">
        <v>4.17</v>
      </c>
      <c r="E132" s="391">
        <v>19.79</v>
      </c>
      <c r="F132" s="391"/>
      <c r="G132" s="391"/>
      <c r="H132" s="391">
        <v>3</v>
      </c>
      <c r="I132" s="391"/>
      <c r="J132" s="391">
        <v>12.86</v>
      </c>
      <c r="K132" s="391">
        <v>54.77</v>
      </c>
      <c r="L132" s="391">
        <v>17.100000000000001</v>
      </c>
      <c r="M132" s="391">
        <v>6.76</v>
      </c>
      <c r="N132" s="391">
        <v>50.43</v>
      </c>
      <c r="O132" s="391">
        <v>66.760000000000005</v>
      </c>
      <c r="P132" s="391">
        <v>3.6</v>
      </c>
      <c r="Q132" s="391">
        <v>2.7</v>
      </c>
      <c r="R132" s="391">
        <v>2.7</v>
      </c>
      <c r="S132" s="391">
        <v>2.7</v>
      </c>
      <c r="T132" s="391">
        <v>0.9</v>
      </c>
      <c r="U132" s="391">
        <v>1</v>
      </c>
      <c r="V132" s="391">
        <v>0.9</v>
      </c>
      <c r="W132" s="391">
        <v>1</v>
      </c>
      <c r="X132" s="391">
        <v>0</v>
      </c>
      <c r="Y132" s="391">
        <v>0</v>
      </c>
      <c r="Z132" s="391">
        <v>1.2</v>
      </c>
      <c r="AA132" s="391"/>
      <c r="AB132" s="391"/>
      <c r="AC132" s="391"/>
      <c r="AD132" s="391"/>
      <c r="AE132" s="391"/>
      <c r="AF132" s="391"/>
      <c r="AG132" s="391"/>
      <c r="AH132" s="391"/>
      <c r="AI132" s="391"/>
      <c r="AJ132" s="391"/>
      <c r="AK132" s="391"/>
      <c r="AL132" s="391"/>
      <c r="AM132" s="391"/>
      <c r="AN132" s="391"/>
      <c r="AO132" s="391"/>
      <c r="AP132" s="391"/>
      <c r="AQ132" s="391"/>
      <c r="AR132" s="391"/>
      <c r="AS132" s="391"/>
      <c r="AT132" s="391"/>
      <c r="AU132" s="391"/>
      <c r="AV132" s="391"/>
      <c r="AW132" s="391"/>
      <c r="AX132" s="391"/>
      <c r="AY132" s="391"/>
      <c r="AZ132" s="391"/>
      <c r="BA132" s="391"/>
      <c r="BB132" s="9">
        <v>321618</v>
      </c>
      <c r="BC132" s="9">
        <v>334795</v>
      </c>
      <c r="BD132" s="9">
        <v>3000</v>
      </c>
      <c r="BE132" s="9">
        <f t="shared" si="21"/>
        <v>13177</v>
      </c>
      <c r="BF132" s="3">
        <v>69</v>
      </c>
      <c r="BG132" s="3">
        <v>1.1000000000000001</v>
      </c>
      <c r="BH132" s="3">
        <f t="shared" si="22"/>
        <v>75.900000000000006</v>
      </c>
      <c r="BI132" s="3">
        <v>60.5</v>
      </c>
      <c r="BJ132" s="3">
        <v>1.1000000000000001</v>
      </c>
      <c r="BK132" s="3">
        <f t="shared" si="23"/>
        <v>66.550000000000011</v>
      </c>
      <c r="BL132" s="3">
        <v>48.5</v>
      </c>
      <c r="BM132" s="3">
        <v>228.28</v>
      </c>
      <c r="BN132" s="3">
        <f>+Shepparton!F152-Shepparton!C152</f>
        <v>336435</v>
      </c>
      <c r="BO132" s="3">
        <f t="shared" si="24"/>
        <v>1474</v>
      </c>
      <c r="BQ132" s="8"/>
      <c r="BS132" s="6"/>
      <c r="BT132" s="6"/>
    </row>
    <row r="133" spans="1:72">
      <c r="A133" s="3" t="s">
        <v>1459</v>
      </c>
      <c r="B133" s="394">
        <v>103.34</v>
      </c>
      <c r="C133" s="394">
        <v>38.479999999999997</v>
      </c>
      <c r="D133" s="394">
        <v>1.47</v>
      </c>
      <c r="E133" s="394">
        <v>0</v>
      </c>
      <c r="F133" s="394"/>
      <c r="G133" s="394"/>
      <c r="H133" s="394">
        <v>1</v>
      </c>
      <c r="I133" s="394"/>
      <c r="J133" s="394">
        <v>8.6999999999999993</v>
      </c>
      <c r="K133" s="394">
        <v>35.9</v>
      </c>
      <c r="L133" s="394">
        <v>8.6999999999999993</v>
      </c>
      <c r="M133" s="394">
        <v>8</v>
      </c>
      <c r="N133" s="394">
        <v>36.9</v>
      </c>
      <c r="O133" s="394">
        <v>45.6</v>
      </c>
      <c r="P133" s="394">
        <v>3.2</v>
      </c>
      <c r="Q133" s="394">
        <v>2.29</v>
      </c>
      <c r="R133" s="394">
        <v>2.29</v>
      </c>
      <c r="S133" s="394">
        <v>2.2000000000000002</v>
      </c>
      <c r="T133" s="394">
        <v>0.9</v>
      </c>
      <c r="U133" s="394">
        <v>1</v>
      </c>
      <c r="V133" s="394">
        <v>0.9</v>
      </c>
      <c r="W133" s="394">
        <v>1</v>
      </c>
      <c r="X133" s="394">
        <v>0</v>
      </c>
      <c r="Y133" s="394">
        <v>0</v>
      </c>
      <c r="Z133" s="394">
        <v>1.2</v>
      </c>
      <c r="AA133" s="391"/>
      <c r="AB133" s="391"/>
      <c r="AC133" s="391"/>
      <c r="AD133" s="391"/>
      <c r="AE133" s="391"/>
      <c r="AF133" s="391"/>
      <c r="AG133" s="391"/>
      <c r="AH133" s="391"/>
      <c r="AI133" s="391"/>
      <c r="AJ133" s="391"/>
      <c r="AK133" s="391"/>
      <c r="AL133" s="391"/>
      <c r="AM133" s="391"/>
      <c r="AN133" s="391"/>
      <c r="AO133" s="391"/>
      <c r="AP133" s="391"/>
      <c r="AQ133" s="391"/>
      <c r="AR133" s="391"/>
      <c r="AS133" s="391"/>
      <c r="AT133" s="391"/>
      <c r="AU133" s="391"/>
      <c r="AV133" s="391"/>
      <c r="AW133" s="391"/>
      <c r="AX133" s="391"/>
      <c r="AY133" s="391"/>
      <c r="AZ133" s="391"/>
      <c r="BA133" s="391"/>
      <c r="BB133" s="9">
        <v>250794</v>
      </c>
      <c r="BC133" s="9">
        <v>263878</v>
      </c>
      <c r="BD133" s="9">
        <v>3000</v>
      </c>
      <c r="BE133" s="9">
        <f t="shared" si="21"/>
        <v>13084</v>
      </c>
      <c r="BF133" s="3">
        <v>28.82</v>
      </c>
      <c r="BG133" s="3">
        <v>1.1000000000000001</v>
      </c>
      <c r="BH133" s="3">
        <f t="shared" si="22"/>
        <v>31.702000000000002</v>
      </c>
      <c r="BI133" s="3">
        <v>43.3</v>
      </c>
      <c r="BJ133" s="3">
        <v>1.1000000000000001</v>
      </c>
      <c r="BK133" s="3">
        <f t="shared" si="23"/>
        <v>47.63</v>
      </c>
      <c r="BL133" s="3">
        <v>43</v>
      </c>
      <c r="BM133" s="3">
        <v>141.97</v>
      </c>
      <c r="BN133" s="3">
        <f>+Shepparton!F153-Shepparton!C153</f>
        <v>259930</v>
      </c>
      <c r="BO133" s="3">
        <f t="shared" si="24"/>
        <v>1831</v>
      </c>
      <c r="BQ133" s="8"/>
      <c r="BS133" s="6"/>
      <c r="BT133" s="6"/>
    </row>
    <row r="134" spans="1:72">
      <c r="A134" s="3" t="s">
        <v>1460</v>
      </c>
      <c r="B134" s="394">
        <v>120.38</v>
      </c>
      <c r="C134" s="394">
        <v>38.479999999999997</v>
      </c>
      <c r="D134" s="394">
        <v>0</v>
      </c>
      <c r="E134" s="394">
        <v>0</v>
      </c>
      <c r="F134" s="394"/>
      <c r="G134" s="394"/>
      <c r="H134" s="394">
        <v>1</v>
      </c>
      <c r="I134" s="394"/>
      <c r="J134" s="394">
        <v>8.5</v>
      </c>
      <c r="K134" s="394">
        <v>35.799999999999997</v>
      </c>
      <c r="L134" s="394">
        <v>9.4</v>
      </c>
      <c r="M134" s="394">
        <v>10</v>
      </c>
      <c r="N134" s="394">
        <v>40.9</v>
      </c>
      <c r="O134" s="394">
        <v>51.7</v>
      </c>
      <c r="P134" s="394">
        <v>3.2</v>
      </c>
      <c r="Q134" s="394">
        <v>2.2799999999999998</v>
      </c>
      <c r="R134" s="394">
        <v>2.2799999999999998</v>
      </c>
      <c r="S134" s="394">
        <v>2.2000000000000002</v>
      </c>
      <c r="T134" s="394">
        <v>0.9</v>
      </c>
      <c r="U134" s="394">
        <v>1</v>
      </c>
      <c r="V134" s="394">
        <v>0.9</v>
      </c>
      <c r="W134" s="394">
        <v>1</v>
      </c>
      <c r="X134" s="394">
        <v>0</v>
      </c>
      <c r="Y134" s="394">
        <v>0</v>
      </c>
      <c r="Z134" s="394">
        <v>1.2</v>
      </c>
      <c r="AA134" s="391"/>
      <c r="AB134" s="391"/>
      <c r="AC134" s="391"/>
      <c r="AD134" s="391"/>
      <c r="AE134" s="391"/>
      <c r="AF134" s="391"/>
      <c r="AG134" s="391"/>
      <c r="AH134" s="391"/>
      <c r="AI134" s="391"/>
      <c r="AJ134" s="391"/>
      <c r="AK134" s="391"/>
      <c r="AL134" s="391"/>
      <c r="AM134" s="391"/>
      <c r="AN134" s="391"/>
      <c r="AO134" s="391"/>
      <c r="AP134" s="391"/>
      <c r="AQ134" s="391"/>
      <c r="AR134" s="391"/>
      <c r="AS134" s="391"/>
      <c r="AT134" s="391"/>
      <c r="AU134" s="391"/>
      <c r="AV134" s="391"/>
      <c r="AW134" s="391"/>
      <c r="AX134" s="391"/>
      <c r="AY134" s="391"/>
      <c r="AZ134" s="391"/>
      <c r="BA134" s="391"/>
      <c r="BB134" s="9">
        <v>265551</v>
      </c>
      <c r="BC134" s="9">
        <v>278617</v>
      </c>
      <c r="BD134" s="9">
        <v>3000</v>
      </c>
      <c r="BE134" s="9">
        <f t="shared" si="21"/>
        <v>13066</v>
      </c>
      <c r="BF134" s="3">
        <v>30.73</v>
      </c>
      <c r="BG134" s="3">
        <v>1.1000000000000001</v>
      </c>
      <c r="BH134" s="3">
        <f t="shared" si="22"/>
        <v>33.803000000000004</v>
      </c>
      <c r="BI134" s="3">
        <v>54.71</v>
      </c>
      <c r="BJ134" s="3">
        <v>1.1000000000000001</v>
      </c>
      <c r="BK134" s="3">
        <f t="shared" si="23"/>
        <v>60.181000000000004</v>
      </c>
      <c r="BL134" s="3">
        <v>47</v>
      </c>
      <c r="BM134" s="3">
        <v>159.03</v>
      </c>
      <c r="BN134" s="3">
        <f>+Shepparton!F154-Shepparton!C154</f>
        <v>275660</v>
      </c>
      <c r="BO134" s="3">
        <f t="shared" si="24"/>
        <v>1733</v>
      </c>
      <c r="BQ134" s="8"/>
      <c r="BS134" s="6"/>
      <c r="BT134" s="6"/>
    </row>
    <row r="135" spans="1:72">
      <c r="A135" s="3" t="s">
        <v>1461</v>
      </c>
      <c r="B135" s="394">
        <v>150.4</v>
      </c>
      <c r="C135" s="394">
        <v>38.51</v>
      </c>
      <c r="D135" s="394">
        <v>1.77</v>
      </c>
      <c r="E135" s="394">
        <v>0</v>
      </c>
      <c r="F135" s="394"/>
      <c r="G135" s="394"/>
      <c r="H135" s="394">
        <v>1</v>
      </c>
      <c r="I135" s="394"/>
      <c r="J135" s="394">
        <v>0</v>
      </c>
      <c r="K135" s="394">
        <v>35</v>
      </c>
      <c r="L135" s="394">
        <v>9.1</v>
      </c>
      <c r="M135" s="394">
        <v>11.7</v>
      </c>
      <c r="N135" s="394">
        <v>44.1</v>
      </c>
      <c r="O135" s="394">
        <v>59</v>
      </c>
      <c r="P135" s="394">
        <v>3.6</v>
      </c>
      <c r="Q135" s="394">
        <v>2.65</v>
      </c>
      <c r="R135" s="394">
        <v>2.65</v>
      </c>
      <c r="S135" s="394">
        <v>2.2000000000000002</v>
      </c>
      <c r="T135" s="394">
        <v>0.9</v>
      </c>
      <c r="U135" s="394">
        <v>1</v>
      </c>
      <c r="V135" s="394">
        <v>0.9</v>
      </c>
      <c r="W135" s="394">
        <v>1</v>
      </c>
      <c r="X135" s="394">
        <v>0</v>
      </c>
      <c r="Y135" s="394">
        <v>0</v>
      </c>
      <c r="Z135" s="394">
        <v>1.2</v>
      </c>
      <c r="AA135" s="391"/>
      <c r="AB135" s="391"/>
      <c r="AC135" s="391"/>
      <c r="AD135" s="391"/>
      <c r="AE135" s="391"/>
      <c r="AF135" s="391"/>
      <c r="AG135" s="391"/>
      <c r="AH135" s="391"/>
      <c r="AI135" s="391"/>
      <c r="AJ135" s="391"/>
      <c r="AK135" s="391"/>
      <c r="AL135" s="391"/>
      <c r="AM135" s="391"/>
      <c r="AN135" s="391"/>
      <c r="AO135" s="391"/>
      <c r="AP135" s="391"/>
      <c r="AQ135" s="391"/>
      <c r="AR135" s="391"/>
      <c r="AS135" s="391"/>
      <c r="AT135" s="391"/>
      <c r="AU135" s="391"/>
      <c r="AV135" s="391"/>
      <c r="AW135" s="391"/>
      <c r="AX135" s="391"/>
      <c r="AY135" s="391"/>
      <c r="AZ135" s="391"/>
      <c r="BA135" s="391"/>
      <c r="BB135" s="9">
        <v>278822</v>
      </c>
      <c r="BC135" s="9">
        <v>291960</v>
      </c>
      <c r="BD135" s="9">
        <v>3000</v>
      </c>
      <c r="BE135" s="9">
        <f t="shared" si="21"/>
        <v>13138</v>
      </c>
      <c r="BF135" s="3">
        <v>37.61</v>
      </c>
      <c r="BG135" s="3">
        <v>1.1000000000000001</v>
      </c>
      <c r="BH135" s="3">
        <f t="shared" si="22"/>
        <v>41.371000000000002</v>
      </c>
      <c r="BI135" s="3">
        <v>69.010000000000005</v>
      </c>
      <c r="BJ135" s="3">
        <v>1.1000000000000001</v>
      </c>
      <c r="BK135" s="3">
        <f t="shared" si="23"/>
        <v>75.911000000000016</v>
      </c>
      <c r="BL135" s="3">
        <v>50</v>
      </c>
      <c r="BM135" s="3">
        <v>172.95</v>
      </c>
      <c r="BN135" s="3">
        <f>+Shepparton!F155-Shepparton!C155</f>
        <v>290650</v>
      </c>
      <c r="BO135" s="3">
        <f t="shared" si="24"/>
        <v>1681</v>
      </c>
      <c r="BQ135" s="8"/>
      <c r="BS135" s="6"/>
      <c r="BT135" s="6"/>
    </row>
    <row r="136" spans="1:72">
      <c r="A136" s="3" t="s">
        <v>1462</v>
      </c>
      <c r="B136" s="394">
        <v>150.04</v>
      </c>
      <c r="C136" s="394">
        <v>38.51</v>
      </c>
      <c r="D136" s="394">
        <v>1.71</v>
      </c>
      <c r="E136" s="394">
        <v>10.57</v>
      </c>
      <c r="F136" s="394"/>
      <c r="G136" s="394"/>
      <c r="H136" s="394">
        <v>1</v>
      </c>
      <c r="I136" s="394"/>
      <c r="J136" s="394">
        <v>8.6</v>
      </c>
      <c r="K136" s="394">
        <v>35.799999999999997</v>
      </c>
      <c r="L136" s="394">
        <v>8.8000000000000007</v>
      </c>
      <c r="M136" s="394">
        <v>14.3</v>
      </c>
      <c r="N136" s="394">
        <v>49.7</v>
      </c>
      <c r="O136" s="394">
        <v>70.5</v>
      </c>
      <c r="P136" s="394">
        <v>3.1</v>
      </c>
      <c r="Q136" s="394">
        <v>2.15</v>
      </c>
      <c r="R136" s="394">
        <v>2.15</v>
      </c>
      <c r="S136" s="394">
        <v>2.2000000000000002</v>
      </c>
      <c r="T136" s="394">
        <v>0.9</v>
      </c>
      <c r="U136" s="394">
        <v>1</v>
      </c>
      <c r="V136" s="394">
        <v>0.9</v>
      </c>
      <c r="W136" s="394">
        <v>1</v>
      </c>
      <c r="X136" s="394">
        <v>0</v>
      </c>
      <c r="Y136" s="394">
        <v>0</v>
      </c>
      <c r="Z136" s="394">
        <v>1.2</v>
      </c>
      <c r="AA136" s="391"/>
      <c r="AB136" s="391"/>
      <c r="AC136" s="391"/>
      <c r="AD136" s="391"/>
      <c r="AE136" s="391"/>
      <c r="AF136" s="391"/>
      <c r="AG136" s="391"/>
      <c r="AH136" s="391"/>
      <c r="AI136" s="391"/>
      <c r="AJ136" s="391"/>
      <c r="AK136" s="391"/>
      <c r="AL136" s="391"/>
      <c r="AM136" s="391"/>
      <c r="AN136" s="391"/>
      <c r="AO136" s="391"/>
      <c r="AP136" s="391"/>
      <c r="AQ136" s="391"/>
      <c r="AR136" s="391"/>
      <c r="AS136" s="391"/>
      <c r="AT136" s="391"/>
      <c r="AU136" s="391"/>
      <c r="AV136" s="391"/>
      <c r="AW136" s="391"/>
      <c r="AX136" s="391"/>
      <c r="AY136" s="391"/>
      <c r="AZ136" s="391"/>
      <c r="BA136" s="391"/>
      <c r="BB136" s="9">
        <v>297330</v>
      </c>
      <c r="BC136" s="9">
        <v>310508</v>
      </c>
      <c r="BD136" s="9">
        <v>3000</v>
      </c>
      <c r="BE136" s="9">
        <f t="shared" si="21"/>
        <v>13178</v>
      </c>
      <c r="BF136" s="3">
        <v>39.799999999999997</v>
      </c>
      <c r="BG136" s="3">
        <v>1.1000000000000001</v>
      </c>
      <c r="BH136" s="3">
        <f t="shared" si="22"/>
        <v>43.78</v>
      </c>
      <c r="BI136" s="3">
        <v>74.45</v>
      </c>
      <c r="BJ136" s="3">
        <v>1.1000000000000001</v>
      </c>
      <c r="BK136" s="3">
        <f t="shared" si="23"/>
        <v>81.89500000000001</v>
      </c>
      <c r="BL136" s="3">
        <v>56</v>
      </c>
      <c r="BM136" s="3">
        <v>198.63</v>
      </c>
      <c r="BN136" s="3">
        <f>+Shepparton!F156-Shepparton!C156</f>
        <v>309755</v>
      </c>
      <c r="BO136" s="3">
        <f t="shared" si="24"/>
        <v>1559</v>
      </c>
      <c r="BQ136" s="8"/>
      <c r="BS136" s="6"/>
      <c r="BT136" s="6"/>
    </row>
    <row r="138" spans="1:72">
      <c r="A138" s="1" t="s">
        <v>113</v>
      </c>
      <c r="BF138" s="3" t="s">
        <v>10</v>
      </c>
      <c r="BG138" s="3" t="s">
        <v>11</v>
      </c>
      <c r="BI138" s="3" t="s">
        <v>3</v>
      </c>
      <c r="BJ138" s="3" t="s">
        <v>11</v>
      </c>
      <c r="BL138" s="3" t="s">
        <v>4</v>
      </c>
    </row>
    <row r="139" spans="1:72">
      <c r="A139" s="3" t="s">
        <v>1459</v>
      </c>
      <c r="B139" s="394">
        <v>103.34</v>
      </c>
      <c r="C139" s="394">
        <v>38.479999999999997</v>
      </c>
      <c r="D139" s="394">
        <v>1.47</v>
      </c>
      <c r="E139" s="394">
        <v>0</v>
      </c>
      <c r="F139" s="394"/>
      <c r="G139" s="394"/>
      <c r="H139" s="394">
        <v>1</v>
      </c>
      <c r="I139" s="394"/>
      <c r="J139" s="394">
        <v>8.6999999999999993</v>
      </c>
      <c r="K139" s="394">
        <v>35.9</v>
      </c>
      <c r="L139" s="394">
        <v>8.6999999999999993</v>
      </c>
      <c r="M139" s="394">
        <v>8</v>
      </c>
      <c r="N139" s="394">
        <v>36.9</v>
      </c>
      <c r="O139" s="394">
        <v>45.6</v>
      </c>
      <c r="P139" s="394">
        <v>3.2</v>
      </c>
      <c r="Q139" s="394">
        <v>2.29</v>
      </c>
      <c r="R139" s="394">
        <v>2.29</v>
      </c>
      <c r="S139" s="394">
        <v>2.2000000000000002</v>
      </c>
      <c r="T139" s="394">
        <v>0.9</v>
      </c>
      <c r="U139" s="394">
        <v>1</v>
      </c>
      <c r="V139" s="394">
        <v>0.9</v>
      </c>
      <c r="W139" s="394">
        <v>1</v>
      </c>
      <c r="X139" s="394">
        <v>0</v>
      </c>
      <c r="Y139" s="394">
        <v>0</v>
      </c>
      <c r="Z139" s="394">
        <v>1.2</v>
      </c>
      <c r="AA139" s="394"/>
      <c r="AB139" s="394"/>
      <c r="AC139" s="394"/>
      <c r="AD139" s="394"/>
      <c r="AE139" s="394"/>
      <c r="AF139" s="394"/>
      <c r="AG139" s="394"/>
      <c r="AH139" s="394"/>
      <c r="AI139" s="394"/>
      <c r="AJ139" s="394"/>
      <c r="AK139" s="394"/>
      <c r="AL139" s="394"/>
      <c r="AM139" s="394"/>
      <c r="AN139" s="394"/>
      <c r="AO139" s="394"/>
      <c r="AP139" s="394"/>
      <c r="AQ139" s="394"/>
      <c r="AR139" s="394"/>
      <c r="AS139" s="394"/>
      <c r="AT139" s="394"/>
      <c r="AU139" s="394"/>
      <c r="AV139" s="394"/>
      <c r="AW139" s="394"/>
      <c r="AX139" s="394"/>
      <c r="AY139" s="394"/>
      <c r="AZ139" s="394"/>
      <c r="BA139" s="394"/>
      <c r="BB139" s="9">
        <v>236357</v>
      </c>
      <c r="BC139" s="9"/>
      <c r="BD139" s="9"/>
      <c r="BE139" s="9"/>
      <c r="BF139" s="3">
        <v>28.82</v>
      </c>
      <c r="BG139" s="3">
        <v>1.1000000000000001</v>
      </c>
      <c r="BH139" s="3">
        <f>+BG139*BF139</f>
        <v>31.702000000000002</v>
      </c>
      <c r="BI139" s="3">
        <v>43.3</v>
      </c>
      <c r="BJ139" s="3">
        <v>1.1000000000000001</v>
      </c>
      <c r="BK139" s="3">
        <f>+BJ139*BI139</f>
        <v>47.63</v>
      </c>
      <c r="BL139" s="3">
        <v>52</v>
      </c>
      <c r="BS139" s="6"/>
    </row>
    <row r="140" spans="1:72">
      <c r="A140" s="3" t="s">
        <v>1460</v>
      </c>
      <c r="B140" s="394">
        <v>120.38</v>
      </c>
      <c r="C140" s="394">
        <v>38.479999999999997</v>
      </c>
      <c r="D140" s="394">
        <v>0</v>
      </c>
      <c r="E140" s="394">
        <v>0</v>
      </c>
      <c r="F140" s="394"/>
      <c r="G140" s="394"/>
      <c r="H140" s="394">
        <v>1</v>
      </c>
      <c r="I140" s="394"/>
      <c r="J140" s="394">
        <v>8.5</v>
      </c>
      <c r="K140" s="394">
        <v>35.799999999999997</v>
      </c>
      <c r="L140" s="394">
        <v>9.4</v>
      </c>
      <c r="M140" s="394">
        <v>10</v>
      </c>
      <c r="N140" s="394">
        <v>40.9</v>
      </c>
      <c r="O140" s="394">
        <v>51.7</v>
      </c>
      <c r="P140" s="394">
        <v>3.2</v>
      </c>
      <c r="Q140" s="394">
        <v>2.2799999999999998</v>
      </c>
      <c r="R140" s="394">
        <v>2.2799999999999998</v>
      </c>
      <c r="S140" s="394">
        <v>2.2000000000000002</v>
      </c>
      <c r="T140" s="394">
        <v>0.9</v>
      </c>
      <c r="U140" s="394">
        <v>1</v>
      </c>
      <c r="V140" s="394">
        <v>0.9</v>
      </c>
      <c r="W140" s="394">
        <v>1</v>
      </c>
      <c r="X140" s="394">
        <v>0</v>
      </c>
      <c r="Y140" s="394">
        <v>0</v>
      </c>
      <c r="Z140" s="394">
        <v>1.2</v>
      </c>
      <c r="AA140" s="394"/>
      <c r="AB140" s="394"/>
      <c r="AC140" s="394"/>
      <c r="AD140" s="394"/>
      <c r="AE140" s="394"/>
      <c r="AF140" s="394"/>
      <c r="AG140" s="394"/>
      <c r="AH140" s="394"/>
      <c r="AI140" s="394"/>
      <c r="AJ140" s="394"/>
      <c r="AK140" s="394"/>
      <c r="AL140" s="394"/>
      <c r="AM140" s="394"/>
      <c r="AN140" s="394"/>
      <c r="AO140" s="394"/>
      <c r="AP140" s="394"/>
      <c r="AQ140" s="394"/>
      <c r="AR140" s="394"/>
      <c r="AS140" s="394"/>
      <c r="AT140" s="394"/>
      <c r="AU140" s="394"/>
      <c r="AV140" s="394"/>
      <c r="AW140" s="394"/>
      <c r="AX140" s="394"/>
      <c r="AY140" s="394"/>
      <c r="AZ140" s="394"/>
      <c r="BA140" s="394"/>
      <c r="BB140" s="9">
        <v>254927</v>
      </c>
      <c r="BC140" s="9"/>
      <c r="BD140" s="9"/>
      <c r="BE140" s="9"/>
      <c r="BF140" s="3">
        <v>30.73</v>
      </c>
      <c r="BG140" s="3">
        <v>1.1000000000000001</v>
      </c>
      <c r="BH140" s="3">
        <f>+BG140*BF140</f>
        <v>33.803000000000004</v>
      </c>
      <c r="BI140" s="3">
        <v>54.71</v>
      </c>
      <c r="BJ140" s="3">
        <v>1.1000000000000001</v>
      </c>
      <c r="BK140" s="3">
        <f>+BJ140*BI140</f>
        <v>60.181000000000004</v>
      </c>
      <c r="BL140" s="3">
        <v>56</v>
      </c>
      <c r="BS140" s="6"/>
    </row>
    <row r="141" spans="1:72">
      <c r="A141" s="3" t="s">
        <v>1461</v>
      </c>
      <c r="B141" s="394">
        <v>150.4</v>
      </c>
      <c r="C141" s="394">
        <v>38.51</v>
      </c>
      <c r="D141" s="394">
        <v>1.77</v>
      </c>
      <c r="E141" s="394">
        <v>0</v>
      </c>
      <c r="F141" s="394"/>
      <c r="G141" s="394"/>
      <c r="H141" s="394">
        <v>1</v>
      </c>
      <c r="I141" s="394"/>
      <c r="J141" s="394">
        <v>0</v>
      </c>
      <c r="K141" s="394">
        <v>35</v>
      </c>
      <c r="L141" s="394">
        <v>9.1</v>
      </c>
      <c r="M141" s="394">
        <v>11.7</v>
      </c>
      <c r="N141" s="394">
        <v>44.1</v>
      </c>
      <c r="O141" s="394">
        <v>59</v>
      </c>
      <c r="P141" s="394">
        <v>3.6</v>
      </c>
      <c r="Q141" s="394">
        <v>2.65</v>
      </c>
      <c r="R141" s="394">
        <v>2.65</v>
      </c>
      <c r="S141" s="394">
        <v>2.2000000000000002</v>
      </c>
      <c r="T141" s="394">
        <v>0.9</v>
      </c>
      <c r="U141" s="394">
        <v>1</v>
      </c>
      <c r="V141" s="394">
        <v>0.9</v>
      </c>
      <c r="W141" s="394">
        <v>1</v>
      </c>
      <c r="X141" s="394">
        <v>0</v>
      </c>
      <c r="Y141" s="394">
        <v>0</v>
      </c>
      <c r="Z141" s="394">
        <v>1.2</v>
      </c>
      <c r="AA141" s="394"/>
      <c r="AB141" s="394"/>
      <c r="AC141" s="394"/>
      <c r="AD141" s="394"/>
      <c r="AE141" s="394"/>
      <c r="AF141" s="394"/>
      <c r="AG141" s="394"/>
      <c r="AH141" s="394"/>
      <c r="AI141" s="394"/>
      <c r="AJ141" s="394"/>
      <c r="AK141" s="394"/>
      <c r="AL141" s="394"/>
      <c r="AM141" s="394"/>
      <c r="AN141" s="394"/>
      <c r="AO141" s="394"/>
      <c r="AP141" s="394"/>
      <c r="AQ141" s="394"/>
      <c r="AR141" s="394"/>
      <c r="AS141" s="394"/>
      <c r="AT141" s="394"/>
      <c r="AU141" s="394"/>
      <c r="AV141" s="394"/>
      <c r="AW141" s="394"/>
      <c r="AX141" s="394"/>
      <c r="AY141" s="394"/>
      <c r="AZ141" s="394"/>
      <c r="BA141" s="394"/>
      <c r="BB141" s="9">
        <v>273100</v>
      </c>
      <c r="BC141" s="9"/>
      <c r="BD141" s="9"/>
      <c r="BE141" s="9"/>
      <c r="BF141" s="3">
        <v>37.61</v>
      </c>
      <c r="BG141" s="3">
        <v>1.1000000000000001</v>
      </c>
      <c r="BH141" s="3">
        <f>+BG141*BF141</f>
        <v>41.371000000000002</v>
      </c>
      <c r="BI141" s="3">
        <v>69.010000000000005</v>
      </c>
      <c r="BJ141" s="3">
        <v>1.1000000000000001</v>
      </c>
      <c r="BK141" s="3">
        <f>+BJ141*BI141</f>
        <v>75.911000000000016</v>
      </c>
      <c r="BL141" s="3">
        <v>59</v>
      </c>
      <c r="BS141" s="6"/>
    </row>
    <row r="142" spans="1:72">
      <c r="A142" s="3" t="s">
        <v>1462</v>
      </c>
      <c r="B142" s="394">
        <v>150.04</v>
      </c>
      <c r="C142" s="394">
        <v>38.51</v>
      </c>
      <c r="D142" s="394">
        <v>1.71</v>
      </c>
      <c r="E142" s="394">
        <v>10.57</v>
      </c>
      <c r="F142" s="394"/>
      <c r="G142" s="394"/>
      <c r="H142" s="394">
        <v>1</v>
      </c>
      <c r="I142" s="394"/>
      <c r="J142" s="394">
        <v>8.6</v>
      </c>
      <c r="K142" s="394">
        <v>35.799999999999997</v>
      </c>
      <c r="L142" s="394">
        <v>8.8000000000000007</v>
      </c>
      <c r="M142" s="394">
        <v>14.3</v>
      </c>
      <c r="N142" s="394">
        <v>49.7</v>
      </c>
      <c r="O142" s="394">
        <v>70.5</v>
      </c>
      <c r="P142" s="394">
        <v>3.1</v>
      </c>
      <c r="Q142" s="394">
        <v>2.15</v>
      </c>
      <c r="R142" s="394">
        <v>2.15</v>
      </c>
      <c r="S142" s="394">
        <v>2.2000000000000002</v>
      </c>
      <c r="T142" s="394">
        <v>0.9</v>
      </c>
      <c r="U142" s="394">
        <v>1</v>
      </c>
      <c r="V142" s="394">
        <v>0.9</v>
      </c>
      <c r="W142" s="394">
        <v>1</v>
      </c>
      <c r="X142" s="394">
        <v>0</v>
      </c>
      <c r="Y142" s="394">
        <v>0</v>
      </c>
      <c r="Z142" s="394">
        <v>1.2</v>
      </c>
      <c r="AA142" s="394"/>
      <c r="AB142" s="394"/>
      <c r="AC142" s="394"/>
      <c r="AD142" s="394"/>
      <c r="AE142" s="394"/>
      <c r="AF142" s="394"/>
      <c r="AG142" s="394"/>
      <c r="AH142" s="394"/>
      <c r="AI142" s="394"/>
      <c r="AJ142" s="394"/>
      <c r="AK142" s="394"/>
      <c r="AL142" s="394"/>
      <c r="AM142" s="394"/>
      <c r="AN142" s="394"/>
      <c r="AO142" s="394"/>
      <c r="AP142" s="394"/>
      <c r="AQ142" s="394"/>
      <c r="AR142" s="394"/>
      <c r="AS142" s="394"/>
      <c r="AT142" s="394"/>
      <c r="AU142" s="394"/>
      <c r="AV142" s="394"/>
      <c r="AW142" s="394"/>
      <c r="AX142" s="394"/>
      <c r="AY142" s="394"/>
      <c r="AZ142" s="394"/>
      <c r="BA142" s="394"/>
      <c r="BB142" s="9">
        <v>282822</v>
      </c>
      <c r="BC142" s="9"/>
      <c r="BD142" s="9"/>
      <c r="BE142" s="9"/>
      <c r="BF142" s="3">
        <v>39.799999999999997</v>
      </c>
      <c r="BG142" s="3">
        <v>1.1000000000000001</v>
      </c>
      <c r="BH142" s="3">
        <f>+BG142*BF142</f>
        <v>43.78</v>
      </c>
      <c r="BI142" s="3">
        <v>74.45</v>
      </c>
      <c r="BJ142" s="3">
        <v>1.1000000000000001</v>
      </c>
      <c r="BK142" s="3">
        <f>+BJ142*BI142</f>
        <v>81.89500000000001</v>
      </c>
      <c r="BL142" s="3">
        <v>65</v>
      </c>
      <c r="BS142" s="6"/>
    </row>
    <row r="143" spans="1:72">
      <c r="B143" s="394"/>
      <c r="C143" s="394"/>
      <c r="D143" s="394"/>
      <c r="E143" s="394"/>
      <c r="F143" s="394"/>
      <c r="G143" s="394"/>
      <c r="H143" s="394"/>
      <c r="I143" s="394"/>
      <c r="J143" s="394"/>
      <c r="K143" s="394"/>
      <c r="L143" s="394"/>
      <c r="M143" s="394"/>
      <c r="N143" s="394"/>
      <c r="O143" s="394"/>
      <c r="P143" s="394"/>
      <c r="Q143" s="394"/>
      <c r="R143" s="394"/>
      <c r="S143" s="394"/>
      <c r="T143" s="394"/>
      <c r="U143" s="394"/>
      <c r="V143" s="394"/>
      <c r="W143" s="394"/>
      <c r="X143" s="394"/>
      <c r="Y143" s="394"/>
      <c r="Z143" s="394"/>
      <c r="AA143" s="394"/>
      <c r="AB143" s="394"/>
      <c r="AC143" s="394"/>
      <c r="AD143" s="394"/>
      <c r="AE143" s="394"/>
      <c r="AF143" s="394"/>
      <c r="AG143" s="394"/>
      <c r="AH143" s="394"/>
      <c r="AI143" s="394"/>
      <c r="AJ143" s="394"/>
      <c r="AK143" s="394"/>
      <c r="AL143" s="394"/>
      <c r="AM143" s="394"/>
      <c r="AN143" s="394"/>
      <c r="AO143" s="394"/>
      <c r="AP143" s="394"/>
      <c r="AQ143" s="394"/>
      <c r="AR143" s="394"/>
      <c r="AS143" s="394"/>
      <c r="AT143" s="394"/>
      <c r="AU143" s="394"/>
      <c r="AV143" s="394"/>
      <c r="AW143" s="394"/>
      <c r="AX143" s="394"/>
      <c r="AY143" s="394"/>
      <c r="AZ143" s="394"/>
      <c r="BA143" s="394"/>
      <c r="BB143" s="9"/>
      <c r="BC143" s="9"/>
      <c r="BD143" s="9"/>
      <c r="BE143" s="9"/>
      <c r="BS143" s="6"/>
    </row>
    <row r="144" spans="1:72">
      <c r="A144" s="1" t="s">
        <v>114</v>
      </c>
      <c r="B144" s="394"/>
      <c r="C144" s="394"/>
      <c r="D144" s="394"/>
      <c r="E144" s="394"/>
      <c r="F144" s="394"/>
      <c r="G144" s="394"/>
      <c r="H144" s="394"/>
      <c r="I144" s="394"/>
      <c r="J144" s="394"/>
      <c r="K144" s="394"/>
      <c r="L144" s="394"/>
      <c r="M144" s="394"/>
      <c r="N144" s="394"/>
      <c r="O144" s="394"/>
      <c r="P144" s="394"/>
      <c r="Q144" s="394"/>
      <c r="R144" s="394"/>
      <c r="S144" s="394"/>
      <c r="T144" s="394"/>
      <c r="U144" s="394"/>
      <c r="V144" s="394"/>
      <c r="W144" s="394"/>
      <c r="X144" s="394"/>
      <c r="Y144" s="394"/>
      <c r="Z144" s="394"/>
      <c r="AA144" s="394"/>
      <c r="AB144" s="394"/>
      <c r="AC144" s="394"/>
      <c r="AD144" s="394"/>
      <c r="AE144" s="394"/>
      <c r="AF144" s="394"/>
      <c r="AG144" s="394"/>
      <c r="AH144" s="394"/>
      <c r="AI144" s="394"/>
      <c r="AJ144" s="394"/>
      <c r="AK144" s="394"/>
      <c r="AL144" s="394"/>
      <c r="AM144" s="394"/>
      <c r="AN144" s="394"/>
      <c r="AO144" s="394"/>
      <c r="AP144" s="394"/>
      <c r="AQ144" s="394"/>
      <c r="AR144" s="394"/>
      <c r="AS144" s="394"/>
      <c r="AT144" s="394"/>
      <c r="AU144" s="394"/>
      <c r="AV144" s="394"/>
      <c r="AW144" s="394"/>
      <c r="AX144" s="394"/>
      <c r="AY144" s="394"/>
      <c r="AZ144" s="394"/>
      <c r="BA144" s="394"/>
      <c r="BB144" s="9"/>
      <c r="BC144" s="9"/>
      <c r="BD144" s="9"/>
      <c r="BE144" s="9"/>
      <c r="BS144" s="6"/>
    </row>
    <row r="145" spans="1:75">
      <c r="A145" s="3" t="s">
        <v>118</v>
      </c>
      <c r="B145" s="394"/>
      <c r="C145" s="394"/>
      <c r="D145" s="394"/>
      <c r="E145" s="394"/>
      <c r="F145" s="394"/>
      <c r="G145" s="394"/>
      <c r="H145" s="394"/>
      <c r="I145" s="394"/>
      <c r="J145" s="394"/>
      <c r="K145" s="394"/>
      <c r="L145" s="394"/>
      <c r="M145" s="394"/>
      <c r="N145" s="394"/>
      <c r="O145" s="394"/>
      <c r="P145" s="394"/>
      <c r="Q145" s="394"/>
      <c r="R145" s="394"/>
      <c r="S145" s="394"/>
      <c r="T145" s="394"/>
      <c r="U145" s="394"/>
      <c r="V145" s="394"/>
      <c r="W145" s="394"/>
      <c r="X145" s="394"/>
      <c r="Y145" s="394"/>
      <c r="Z145" s="394"/>
      <c r="AA145" s="394"/>
      <c r="AB145" s="394"/>
      <c r="AC145" s="394"/>
      <c r="AD145" s="394"/>
      <c r="AE145" s="394"/>
      <c r="AF145" s="394"/>
      <c r="AG145" s="394"/>
      <c r="AH145" s="394"/>
      <c r="AI145" s="394"/>
      <c r="AJ145" s="394"/>
      <c r="AK145" s="394"/>
      <c r="AL145" s="394"/>
      <c r="AM145" s="394"/>
      <c r="AN145" s="394"/>
      <c r="AO145" s="394"/>
      <c r="AP145" s="394"/>
      <c r="AQ145" s="394"/>
      <c r="AR145" s="394"/>
      <c r="AS145" s="394"/>
      <c r="AT145" s="394"/>
      <c r="AU145" s="394"/>
      <c r="AV145" s="394"/>
      <c r="AW145" s="394"/>
      <c r="AX145" s="394"/>
      <c r="AY145" s="394"/>
      <c r="AZ145" s="394"/>
      <c r="BA145" s="394"/>
      <c r="BB145" s="9">
        <v>475810</v>
      </c>
      <c r="BC145" s="9"/>
      <c r="BD145" s="9">
        <v>4000</v>
      </c>
      <c r="BE145" s="9"/>
      <c r="BF145" s="3">
        <v>67.739999999999995</v>
      </c>
      <c r="BG145" s="3">
        <v>1.1000000000000001</v>
      </c>
      <c r="BH145" s="3">
        <f>+BG145*BF145</f>
        <v>74.513999999999996</v>
      </c>
      <c r="BI145" s="3">
        <f>23.8+65.32</f>
        <v>89.11999999999999</v>
      </c>
      <c r="BJ145" s="3">
        <v>1.1000000000000001</v>
      </c>
      <c r="BK145" s="3">
        <f>+BJ145*BI145</f>
        <v>98.031999999999996</v>
      </c>
      <c r="BL145" s="3">
        <f>30+49</f>
        <v>79</v>
      </c>
      <c r="BM145" s="3">
        <v>261.3</v>
      </c>
      <c r="BN145" s="3">
        <f>+Shepparton!F169-Shepparton!C169</f>
        <v>493370</v>
      </c>
      <c r="BO145" s="3">
        <f t="shared" ref="BO145" si="25">+ROUND(BN145/BM145,)</f>
        <v>1888</v>
      </c>
      <c r="BS145" s="6"/>
    </row>
    <row r="146" spans="1:75">
      <c r="A146" s="3" t="s">
        <v>119</v>
      </c>
      <c r="B146" s="394"/>
      <c r="C146" s="394"/>
      <c r="D146" s="394"/>
      <c r="E146" s="394"/>
      <c r="F146" s="394"/>
      <c r="G146" s="394"/>
      <c r="H146" s="394"/>
      <c r="I146" s="394"/>
      <c r="J146" s="394"/>
      <c r="K146" s="394"/>
      <c r="L146" s="394"/>
      <c r="M146" s="394"/>
      <c r="N146" s="394"/>
      <c r="O146" s="394"/>
      <c r="P146" s="394"/>
      <c r="Q146" s="394"/>
      <c r="R146" s="394"/>
      <c r="S146" s="394"/>
      <c r="T146" s="394"/>
      <c r="U146" s="394"/>
      <c r="V146" s="394"/>
      <c r="W146" s="394"/>
      <c r="X146" s="394"/>
      <c r="Y146" s="394"/>
      <c r="Z146" s="394"/>
      <c r="AA146" s="394"/>
      <c r="AB146" s="394"/>
      <c r="AC146" s="394"/>
      <c r="AD146" s="394"/>
      <c r="AE146" s="394"/>
      <c r="AF146" s="394"/>
      <c r="AG146" s="394"/>
      <c r="AH146" s="394"/>
      <c r="AI146" s="394"/>
      <c r="AJ146" s="394"/>
      <c r="AK146" s="394"/>
      <c r="AL146" s="394"/>
      <c r="AM146" s="394"/>
      <c r="AN146" s="394"/>
      <c r="AO146" s="394"/>
      <c r="AP146" s="394"/>
      <c r="AQ146" s="394"/>
      <c r="AR146" s="394"/>
      <c r="AS146" s="394"/>
      <c r="AT146" s="394"/>
      <c r="AU146" s="394"/>
      <c r="AV146" s="394"/>
      <c r="AW146" s="394"/>
      <c r="AX146" s="394"/>
      <c r="AY146" s="394"/>
      <c r="AZ146" s="394"/>
      <c r="BA146" s="394"/>
      <c r="BB146" s="9">
        <v>510900</v>
      </c>
      <c r="BC146" s="9"/>
      <c r="BD146" s="9">
        <v>4000</v>
      </c>
      <c r="BE146" s="9"/>
      <c r="BF146" s="3">
        <v>67.790000000000006</v>
      </c>
      <c r="BG146" s="3">
        <v>1.1000000000000001</v>
      </c>
      <c r="BH146" s="3">
        <f>+BG146*BF146</f>
        <v>74.569000000000017</v>
      </c>
      <c r="BI146" s="3">
        <f>23.8+82.05</f>
        <v>105.85</v>
      </c>
      <c r="BJ146" s="3">
        <v>1.1000000000000001</v>
      </c>
      <c r="BK146" s="3">
        <f>+BJ146*BI146</f>
        <v>116.435</v>
      </c>
      <c r="BL146" s="3">
        <f>17.5+57.5</f>
        <v>75</v>
      </c>
      <c r="BM146" s="3">
        <v>291.60000000000002</v>
      </c>
      <c r="BN146" s="3">
        <f>+Shepparton!F170-Shepparton!C170</f>
        <v>529575</v>
      </c>
      <c r="BO146" s="3">
        <f t="shared" ref="BO146:BO147" si="26">+ROUND(BN146/BM146,)</f>
        <v>1816</v>
      </c>
      <c r="BS146" s="6"/>
    </row>
    <row r="147" spans="1:75">
      <c r="A147" s="3" t="s">
        <v>120</v>
      </c>
      <c r="B147" s="394"/>
      <c r="C147" s="394"/>
      <c r="D147" s="394"/>
      <c r="E147" s="394"/>
      <c r="F147" s="394"/>
      <c r="G147" s="394"/>
      <c r="H147" s="394"/>
      <c r="I147" s="394"/>
      <c r="J147" s="394"/>
      <c r="K147" s="394"/>
      <c r="L147" s="394"/>
      <c r="M147" s="394"/>
      <c r="N147" s="394"/>
      <c r="O147" s="394"/>
      <c r="P147" s="394"/>
      <c r="Q147" s="394"/>
      <c r="R147" s="394"/>
      <c r="S147" s="394"/>
      <c r="T147" s="394"/>
      <c r="U147" s="394"/>
      <c r="V147" s="394"/>
      <c r="W147" s="394"/>
      <c r="X147" s="394"/>
      <c r="Y147" s="394"/>
      <c r="Z147" s="394"/>
      <c r="AA147" s="394"/>
      <c r="AB147" s="394"/>
      <c r="AC147" s="394"/>
      <c r="AD147" s="394"/>
      <c r="AE147" s="394"/>
      <c r="AF147" s="394"/>
      <c r="AG147" s="394"/>
      <c r="AH147" s="394"/>
      <c r="AI147" s="394"/>
      <c r="AJ147" s="394"/>
      <c r="AK147" s="394"/>
      <c r="AL147" s="394"/>
      <c r="AM147" s="394"/>
      <c r="AN147" s="394"/>
      <c r="AO147" s="394"/>
      <c r="AP147" s="394"/>
      <c r="AQ147" s="394"/>
      <c r="AR147" s="394"/>
      <c r="AS147" s="394"/>
      <c r="AT147" s="394"/>
      <c r="AU147" s="394"/>
      <c r="AV147" s="394"/>
      <c r="AW147" s="394"/>
      <c r="AX147" s="394"/>
      <c r="AY147" s="394"/>
      <c r="AZ147" s="394"/>
      <c r="BA147" s="394"/>
      <c r="BB147" s="9">
        <v>516800</v>
      </c>
      <c r="BC147" s="9"/>
      <c r="BD147" s="9">
        <v>4000</v>
      </c>
      <c r="BE147" s="9"/>
      <c r="BF147" s="3">
        <v>67.67</v>
      </c>
      <c r="BG147" s="3">
        <v>1.1000000000000001</v>
      </c>
      <c r="BH147" s="3">
        <f>+BG147*BF147</f>
        <v>74.437000000000012</v>
      </c>
      <c r="BI147" s="3">
        <f>23.8+105.9</f>
        <v>129.70000000000002</v>
      </c>
      <c r="BJ147" s="3">
        <v>1.1000000000000001</v>
      </c>
      <c r="BK147" s="3">
        <f>+BJ147*BI147</f>
        <v>142.67000000000004</v>
      </c>
      <c r="BL147" s="3">
        <f>16+57.5</f>
        <v>73.5</v>
      </c>
      <c r="BM147" s="3">
        <v>315.5</v>
      </c>
      <c r="BN147" s="3">
        <f>+Shepparton!F171-Shepparton!C171</f>
        <v>537035</v>
      </c>
      <c r="BO147" s="3">
        <f t="shared" si="26"/>
        <v>1702</v>
      </c>
      <c r="BS147" s="6"/>
    </row>
    <row r="148" spans="1:75">
      <c r="B148" s="394"/>
      <c r="C148" s="394"/>
      <c r="D148" s="394"/>
      <c r="E148" s="394"/>
      <c r="F148" s="394"/>
      <c r="G148" s="394"/>
      <c r="H148" s="394"/>
      <c r="I148" s="394"/>
      <c r="J148" s="394"/>
      <c r="K148" s="394"/>
      <c r="L148" s="394"/>
      <c r="M148" s="394"/>
      <c r="N148" s="394"/>
      <c r="O148" s="394"/>
      <c r="P148" s="394"/>
      <c r="Q148" s="394"/>
      <c r="R148" s="394"/>
      <c r="S148" s="394"/>
      <c r="T148" s="394"/>
      <c r="U148" s="394"/>
      <c r="V148" s="394"/>
      <c r="W148" s="394"/>
      <c r="X148" s="394"/>
      <c r="Y148" s="394"/>
      <c r="Z148" s="394"/>
      <c r="AA148" s="394"/>
      <c r="AB148" s="394"/>
      <c r="AC148" s="394"/>
      <c r="AD148" s="394"/>
      <c r="AE148" s="394"/>
      <c r="AF148" s="394"/>
      <c r="AG148" s="394"/>
      <c r="AH148" s="394"/>
      <c r="AI148" s="394"/>
      <c r="AJ148" s="394"/>
      <c r="AK148" s="394"/>
      <c r="AL148" s="394"/>
      <c r="AM148" s="394"/>
      <c r="AN148" s="394"/>
      <c r="AO148" s="394"/>
      <c r="AP148" s="394"/>
      <c r="AQ148" s="394"/>
      <c r="AR148" s="394"/>
      <c r="AS148" s="394"/>
      <c r="AT148" s="394"/>
      <c r="AU148" s="394"/>
      <c r="AV148" s="394"/>
      <c r="AW148" s="394"/>
      <c r="AX148" s="394"/>
      <c r="AY148" s="394"/>
      <c r="AZ148" s="394"/>
      <c r="BA148" s="394"/>
      <c r="BB148" s="9"/>
      <c r="BC148" s="9"/>
      <c r="BD148" s="9"/>
      <c r="BE148" s="9"/>
      <c r="BS148" s="6"/>
    </row>
    <row r="149" spans="1:75">
      <c r="B149" s="394"/>
      <c r="C149" s="394"/>
      <c r="D149" s="394"/>
      <c r="E149" s="394"/>
      <c r="F149" s="394"/>
      <c r="G149" s="394"/>
      <c r="H149" s="394"/>
      <c r="I149" s="394"/>
      <c r="J149" s="394"/>
      <c r="K149" s="394"/>
      <c r="L149" s="394"/>
      <c r="M149" s="394"/>
      <c r="N149" s="394"/>
      <c r="O149" s="394"/>
      <c r="P149" s="394"/>
      <c r="Q149" s="394"/>
      <c r="R149" s="394"/>
      <c r="S149" s="394"/>
      <c r="T149" s="394"/>
      <c r="U149" s="394"/>
      <c r="V149" s="394"/>
      <c r="W149" s="394"/>
      <c r="X149" s="394"/>
      <c r="Y149" s="394"/>
      <c r="Z149" s="394"/>
      <c r="AA149" s="394"/>
      <c r="AB149" s="394"/>
      <c r="AC149" s="394"/>
      <c r="AD149" s="394"/>
      <c r="AE149" s="394"/>
      <c r="AF149" s="394"/>
      <c r="AG149" s="394"/>
      <c r="AH149" s="394"/>
      <c r="AI149" s="394"/>
      <c r="AJ149" s="394"/>
      <c r="AK149" s="394"/>
      <c r="AL149" s="394"/>
      <c r="AM149" s="394"/>
      <c r="AN149" s="394"/>
      <c r="AO149" s="394"/>
      <c r="AP149" s="394"/>
      <c r="AQ149" s="394"/>
      <c r="AR149" s="394"/>
      <c r="AS149" s="394"/>
      <c r="AT149" s="394"/>
      <c r="AU149" s="394"/>
      <c r="AV149" s="394"/>
      <c r="AW149" s="394"/>
      <c r="AX149" s="394"/>
      <c r="AY149" s="394"/>
      <c r="AZ149" s="394"/>
      <c r="BA149" s="394"/>
      <c r="BB149" s="9"/>
      <c r="BC149" s="9"/>
      <c r="BD149" s="9"/>
      <c r="BE149" s="9"/>
      <c r="BS149" s="6"/>
    </row>
    <row r="150" spans="1:75">
      <c r="B150" s="394"/>
      <c r="C150" s="394"/>
      <c r="D150" s="394"/>
      <c r="E150" s="394"/>
      <c r="F150" s="394"/>
      <c r="G150" s="394"/>
      <c r="H150" s="394"/>
      <c r="I150" s="394"/>
      <c r="J150" s="394"/>
      <c r="K150" s="394"/>
      <c r="L150" s="394"/>
      <c r="M150" s="394"/>
      <c r="N150" s="394"/>
      <c r="O150" s="394"/>
      <c r="P150" s="394"/>
      <c r="Q150" s="394"/>
      <c r="R150" s="394"/>
      <c r="S150" s="394"/>
      <c r="T150" s="394"/>
      <c r="U150" s="394"/>
      <c r="V150" s="394"/>
      <c r="W150" s="394"/>
      <c r="X150" s="394"/>
      <c r="Y150" s="394"/>
      <c r="Z150" s="394"/>
      <c r="AA150" s="394"/>
      <c r="AB150" s="394"/>
      <c r="AC150" s="394"/>
      <c r="AD150" s="394"/>
      <c r="AE150" s="394"/>
      <c r="AF150" s="394"/>
      <c r="AG150" s="394"/>
      <c r="AH150" s="394"/>
      <c r="AI150" s="394"/>
      <c r="AJ150" s="394"/>
      <c r="AK150" s="394"/>
      <c r="AL150" s="394"/>
      <c r="AM150" s="394"/>
      <c r="AN150" s="394"/>
      <c r="AO150" s="394"/>
      <c r="AP150" s="394"/>
      <c r="AQ150" s="394"/>
      <c r="AR150" s="394"/>
      <c r="AS150" s="394"/>
      <c r="AT150" s="394"/>
      <c r="AU150" s="394"/>
      <c r="AV150" s="394"/>
      <c r="AW150" s="394"/>
      <c r="AX150" s="394"/>
      <c r="AY150" s="394"/>
      <c r="AZ150" s="394"/>
      <c r="BA150" s="394"/>
      <c r="BB150" s="9"/>
      <c r="BC150" s="9"/>
      <c r="BD150" s="9"/>
      <c r="BE150" s="9"/>
      <c r="BS150" s="6"/>
    </row>
    <row r="151" spans="1:75">
      <c r="B151" s="394"/>
      <c r="C151" s="394"/>
      <c r="D151" s="394"/>
      <c r="E151" s="394"/>
      <c r="F151" s="394"/>
      <c r="G151" s="394"/>
      <c r="H151" s="394"/>
      <c r="I151" s="394"/>
      <c r="J151" s="394"/>
      <c r="K151" s="394"/>
      <c r="L151" s="394"/>
      <c r="M151" s="394"/>
      <c r="N151" s="394"/>
      <c r="O151" s="394"/>
      <c r="P151" s="394"/>
      <c r="Q151" s="394"/>
      <c r="R151" s="394"/>
      <c r="S151" s="394"/>
      <c r="T151" s="394"/>
      <c r="U151" s="394"/>
      <c r="V151" s="394"/>
      <c r="W151" s="394"/>
      <c r="X151" s="394"/>
      <c r="Y151" s="394"/>
      <c r="Z151" s="394"/>
      <c r="AA151" s="394"/>
      <c r="AB151" s="394"/>
      <c r="AC151" s="394"/>
      <c r="AD151" s="394"/>
      <c r="AE151" s="394"/>
      <c r="AF151" s="394"/>
      <c r="AG151" s="394"/>
      <c r="AH151" s="394"/>
      <c r="AI151" s="394"/>
      <c r="AJ151" s="394"/>
      <c r="AK151" s="394"/>
      <c r="AL151" s="394"/>
      <c r="AM151" s="394"/>
      <c r="AN151" s="394"/>
      <c r="AO151" s="394"/>
      <c r="AP151" s="394"/>
      <c r="AQ151" s="394"/>
      <c r="AR151" s="394"/>
      <c r="AS151" s="394"/>
      <c r="AT151" s="394"/>
      <c r="AU151" s="394"/>
      <c r="AV151" s="394"/>
      <c r="AW151" s="394"/>
      <c r="AX151" s="394"/>
      <c r="AY151" s="394"/>
      <c r="AZ151" s="394"/>
      <c r="BA151" s="394"/>
      <c r="BB151" s="9"/>
      <c r="BC151" s="9"/>
      <c r="BD151" s="9"/>
      <c r="BE151" s="9"/>
      <c r="BS151" s="6"/>
    </row>
    <row r="152" spans="1:75">
      <c r="B152" s="394"/>
      <c r="C152" s="394"/>
      <c r="D152" s="394"/>
      <c r="E152" s="394"/>
      <c r="F152" s="394"/>
      <c r="G152" s="394"/>
      <c r="H152" s="394"/>
      <c r="I152" s="394"/>
      <c r="J152" s="394"/>
      <c r="K152" s="394"/>
      <c r="L152" s="394"/>
      <c r="M152" s="394"/>
      <c r="N152" s="394"/>
      <c r="O152" s="394"/>
      <c r="P152" s="394"/>
      <c r="Q152" s="394"/>
      <c r="R152" s="394"/>
      <c r="S152" s="394"/>
      <c r="T152" s="394"/>
      <c r="U152" s="394"/>
      <c r="V152" s="394"/>
      <c r="W152" s="394"/>
      <c r="X152" s="394"/>
      <c r="Y152" s="394"/>
      <c r="Z152" s="394"/>
      <c r="AA152" s="394"/>
      <c r="AB152" s="394"/>
      <c r="AC152" s="394"/>
      <c r="AD152" s="394"/>
      <c r="AE152" s="394"/>
      <c r="AF152" s="394"/>
      <c r="AG152" s="394"/>
      <c r="AH152" s="394"/>
      <c r="AI152" s="394"/>
      <c r="AJ152" s="394"/>
      <c r="AK152" s="394"/>
      <c r="AL152" s="394"/>
      <c r="AM152" s="394"/>
      <c r="AN152" s="394"/>
      <c r="AO152" s="394"/>
      <c r="AP152" s="394"/>
      <c r="AQ152" s="394"/>
      <c r="AR152" s="394"/>
      <c r="AS152" s="394"/>
      <c r="AT152" s="394"/>
      <c r="AU152" s="394"/>
      <c r="AV152" s="394"/>
      <c r="AW152" s="394"/>
      <c r="AX152" s="394"/>
      <c r="AY152" s="394"/>
      <c r="AZ152" s="394"/>
      <c r="BA152" s="394"/>
      <c r="BB152" s="9"/>
      <c r="BC152" s="9"/>
      <c r="BD152" s="9"/>
      <c r="BE152" s="9"/>
      <c r="BS152" s="6"/>
    </row>
    <row r="153" spans="1:75">
      <c r="B153" s="394"/>
      <c r="C153" s="394"/>
      <c r="D153" s="394"/>
      <c r="E153" s="394"/>
      <c r="F153" s="394"/>
      <c r="G153" s="394"/>
      <c r="H153" s="394"/>
      <c r="I153" s="394"/>
      <c r="J153" s="394"/>
      <c r="K153" s="394"/>
      <c r="L153" s="394"/>
      <c r="M153" s="394"/>
      <c r="N153" s="394"/>
      <c r="O153" s="394"/>
      <c r="P153" s="394"/>
      <c r="Q153" s="394"/>
      <c r="R153" s="394"/>
      <c r="S153" s="394"/>
      <c r="T153" s="394"/>
      <c r="U153" s="394"/>
      <c r="V153" s="394"/>
      <c r="W153" s="394"/>
      <c r="X153" s="394"/>
      <c r="Y153" s="394"/>
      <c r="Z153" s="394"/>
      <c r="AA153" s="394"/>
      <c r="AB153" s="394"/>
      <c r="AC153" s="394"/>
      <c r="AD153" s="394"/>
      <c r="AE153" s="394"/>
      <c r="AF153" s="394"/>
      <c r="AG153" s="394"/>
      <c r="AH153" s="394"/>
      <c r="AI153" s="394"/>
      <c r="AJ153" s="394"/>
      <c r="AK153" s="394"/>
      <c r="AL153" s="394"/>
      <c r="AM153" s="394"/>
      <c r="AN153" s="394"/>
      <c r="AO153" s="394"/>
      <c r="AP153" s="394"/>
      <c r="AQ153" s="394"/>
      <c r="AR153" s="394"/>
      <c r="AS153" s="394"/>
      <c r="AT153" s="394"/>
      <c r="AU153" s="394"/>
      <c r="AV153" s="394"/>
      <c r="AW153" s="394"/>
      <c r="AX153" s="394"/>
      <c r="AY153" s="394"/>
      <c r="AZ153" s="394"/>
      <c r="BA153" s="394"/>
      <c r="BB153" s="9"/>
      <c r="BC153" s="9"/>
      <c r="BD153" s="9"/>
      <c r="BE153" s="9"/>
      <c r="BS153" s="6"/>
    </row>
    <row r="154" spans="1:75">
      <c r="B154" s="394"/>
      <c r="C154" s="394"/>
      <c r="D154" s="394"/>
      <c r="E154" s="394"/>
      <c r="F154" s="394"/>
      <c r="G154" s="394"/>
      <c r="H154" s="394"/>
      <c r="I154" s="394"/>
      <c r="J154" s="394"/>
      <c r="K154" s="394"/>
      <c r="L154" s="394"/>
      <c r="M154" s="394"/>
      <c r="N154" s="394"/>
      <c r="O154" s="394"/>
      <c r="P154" s="394"/>
      <c r="Q154" s="394"/>
      <c r="R154" s="394"/>
      <c r="S154" s="394"/>
      <c r="T154" s="394"/>
      <c r="U154" s="394"/>
      <c r="V154" s="394"/>
      <c r="W154" s="394"/>
      <c r="X154" s="394"/>
      <c r="Y154" s="394"/>
      <c r="Z154" s="394"/>
      <c r="AA154" s="394"/>
      <c r="AB154" s="394"/>
      <c r="AC154" s="394"/>
      <c r="AD154" s="394"/>
      <c r="AE154" s="394"/>
      <c r="AF154" s="394"/>
      <c r="AG154" s="394"/>
      <c r="AH154" s="394"/>
      <c r="AI154" s="394"/>
      <c r="AJ154" s="394"/>
      <c r="AK154" s="394"/>
      <c r="AL154" s="394"/>
      <c r="AM154" s="394"/>
      <c r="AN154" s="394"/>
      <c r="AO154" s="394"/>
      <c r="AP154" s="394"/>
      <c r="AQ154" s="394"/>
      <c r="AR154" s="394"/>
      <c r="AS154" s="394"/>
      <c r="AT154" s="394"/>
      <c r="AU154" s="394"/>
      <c r="AV154" s="394"/>
      <c r="AW154" s="394"/>
      <c r="AX154" s="394"/>
      <c r="AY154" s="394"/>
      <c r="AZ154" s="394"/>
      <c r="BA154" s="394"/>
      <c r="BB154" s="9"/>
      <c r="BC154" s="9"/>
      <c r="BD154" s="9"/>
      <c r="BE154" s="9"/>
      <c r="BS154" s="6"/>
    </row>
    <row r="156" spans="1:75">
      <c r="A156" s="1" t="s">
        <v>114</v>
      </c>
      <c r="BF156" s="3" t="s">
        <v>10</v>
      </c>
      <c r="BG156" s="3" t="s">
        <v>11</v>
      </c>
      <c r="BI156" s="3" t="s">
        <v>3</v>
      </c>
      <c r="BJ156" s="3" t="s">
        <v>11</v>
      </c>
      <c r="BL156" s="3" t="s">
        <v>4</v>
      </c>
    </row>
    <row r="157" spans="1:75">
      <c r="A157" s="4" t="s">
        <v>115</v>
      </c>
      <c r="B157" s="391"/>
      <c r="C157" s="391"/>
      <c r="D157" s="391"/>
      <c r="E157" s="391"/>
      <c r="F157" s="391"/>
      <c r="G157" s="391"/>
      <c r="H157" s="391"/>
      <c r="I157" s="391"/>
      <c r="J157" s="391"/>
      <c r="K157" s="391"/>
      <c r="L157" s="391"/>
      <c r="M157" s="391"/>
      <c r="N157" s="391"/>
      <c r="O157" s="391"/>
      <c r="P157" s="391"/>
      <c r="Q157" s="391"/>
      <c r="R157" s="391"/>
      <c r="S157" s="391"/>
      <c r="T157" s="391"/>
      <c r="U157" s="391"/>
      <c r="V157" s="391"/>
      <c r="W157" s="391"/>
      <c r="X157" s="391"/>
      <c r="Y157" s="391"/>
      <c r="Z157" s="391"/>
      <c r="AA157" s="391"/>
      <c r="AB157" s="391"/>
      <c r="AC157" s="391"/>
      <c r="AD157" s="391"/>
      <c r="AE157" s="391"/>
      <c r="AF157" s="391"/>
      <c r="AG157" s="391"/>
      <c r="AH157" s="391"/>
      <c r="AI157" s="391"/>
      <c r="AJ157" s="391"/>
      <c r="AK157" s="391"/>
      <c r="AL157" s="391"/>
      <c r="AM157" s="391"/>
      <c r="AN157" s="391"/>
      <c r="AO157" s="391"/>
      <c r="AP157" s="391"/>
      <c r="AQ157" s="391"/>
      <c r="AR157" s="391"/>
      <c r="AS157" s="391"/>
      <c r="AT157" s="391"/>
      <c r="AU157" s="391"/>
      <c r="AV157" s="391"/>
      <c r="AW157" s="391"/>
      <c r="AX157" s="391"/>
      <c r="AY157" s="391"/>
      <c r="AZ157" s="391"/>
      <c r="BA157" s="391"/>
      <c r="BB157" s="6"/>
      <c r="BC157" s="6"/>
      <c r="BD157" s="6"/>
      <c r="BE157" s="6"/>
      <c r="BF157" s="3">
        <v>72.150000000000006</v>
      </c>
      <c r="BG157" s="3">
        <v>1.1000000000000001</v>
      </c>
      <c r="BH157" s="3">
        <f t="shared" ref="BH157:BH171" si="27">+BG157*BF157</f>
        <v>79.365000000000009</v>
      </c>
      <c r="BI157" s="3">
        <f>23.8+81.16</f>
        <v>104.96</v>
      </c>
      <c r="BJ157" s="3">
        <v>1.1000000000000001</v>
      </c>
      <c r="BK157" s="3">
        <f t="shared" ref="BK157:BK171" si="28">+BJ157*BI157</f>
        <v>115.456</v>
      </c>
      <c r="BL157" s="3">
        <f>34+56</f>
        <v>90</v>
      </c>
      <c r="BM157" s="3">
        <v>290.02</v>
      </c>
      <c r="BO157" s="3">
        <f t="shared" ref="BO157:BO171" si="29">+ROUND(BN157/BM157,)</f>
        <v>0</v>
      </c>
      <c r="BS157" s="6">
        <v>375197.44799999997</v>
      </c>
      <c r="BT157" s="6"/>
      <c r="BV157" s="3">
        <v>90</v>
      </c>
      <c r="BW157" s="3">
        <f t="shared" ref="BW157:BW171" si="30">+BM157*BV157</f>
        <v>26101.8</v>
      </c>
    </row>
    <row r="158" spans="1:75">
      <c r="A158" s="3" t="s">
        <v>116</v>
      </c>
      <c r="B158" s="391"/>
      <c r="C158" s="391"/>
      <c r="D158" s="391"/>
      <c r="E158" s="391"/>
      <c r="F158" s="391"/>
      <c r="G158" s="391"/>
      <c r="H158" s="391"/>
      <c r="I158" s="391"/>
      <c r="J158" s="391"/>
      <c r="K158" s="391"/>
      <c r="L158" s="391"/>
      <c r="M158" s="391"/>
      <c r="N158" s="391"/>
      <c r="O158" s="391"/>
      <c r="P158" s="391"/>
      <c r="Q158" s="391"/>
      <c r="R158" s="391"/>
      <c r="S158" s="391"/>
      <c r="T158" s="391"/>
      <c r="U158" s="391"/>
      <c r="V158" s="391"/>
      <c r="W158" s="391"/>
      <c r="X158" s="391"/>
      <c r="Y158" s="391"/>
      <c r="Z158" s="391"/>
      <c r="AA158" s="391"/>
      <c r="AB158" s="391"/>
      <c r="AC158" s="391"/>
      <c r="AD158" s="391"/>
      <c r="AE158" s="391"/>
      <c r="AF158" s="391"/>
      <c r="AG158" s="391"/>
      <c r="AH158" s="391"/>
      <c r="AI158" s="391"/>
      <c r="AJ158" s="391"/>
      <c r="AK158" s="391"/>
      <c r="AL158" s="391"/>
      <c r="AM158" s="391"/>
      <c r="AN158" s="391"/>
      <c r="AO158" s="391"/>
      <c r="AP158" s="391"/>
      <c r="AQ158" s="391"/>
      <c r="AR158" s="391"/>
      <c r="AS158" s="391"/>
      <c r="AT158" s="391"/>
      <c r="AU158" s="391"/>
      <c r="AV158" s="391"/>
      <c r="AW158" s="391"/>
      <c r="AX158" s="391"/>
      <c r="AY158" s="391"/>
      <c r="AZ158" s="391"/>
      <c r="BA158" s="391"/>
      <c r="BB158" s="6"/>
      <c r="BC158" s="6"/>
      <c r="BD158" s="6"/>
      <c r="BE158" s="6"/>
      <c r="BF158" s="3">
        <v>84.47</v>
      </c>
      <c r="BG158" s="3">
        <v>1.1000000000000001</v>
      </c>
      <c r="BH158" s="3">
        <f t="shared" si="27"/>
        <v>92.917000000000002</v>
      </c>
      <c r="BI158" s="3">
        <f>29.9+97.42</f>
        <v>127.32</v>
      </c>
      <c r="BJ158" s="3">
        <v>1.1000000000000001</v>
      </c>
      <c r="BK158" s="3">
        <f t="shared" si="28"/>
        <v>140.05199999999999</v>
      </c>
      <c r="BL158" s="3">
        <f>34+59</f>
        <v>93</v>
      </c>
      <c r="BM158" s="3">
        <v>325.75</v>
      </c>
      <c r="BO158" s="3">
        <f t="shared" si="29"/>
        <v>0</v>
      </c>
      <c r="BS158" s="10">
        <v>405966.8</v>
      </c>
      <c r="BU158" s="2"/>
      <c r="BV158" s="3">
        <f>+BV157</f>
        <v>90</v>
      </c>
      <c r="BW158" s="3">
        <f t="shared" si="30"/>
        <v>29317.5</v>
      </c>
    </row>
    <row r="159" spans="1:75">
      <c r="A159" s="3" t="s">
        <v>117</v>
      </c>
      <c r="B159" s="391"/>
      <c r="C159" s="391"/>
      <c r="D159" s="391"/>
      <c r="E159" s="391"/>
      <c r="F159" s="391"/>
      <c r="G159" s="391"/>
      <c r="H159" s="391"/>
      <c r="I159" s="391"/>
      <c r="J159" s="391"/>
      <c r="K159" s="391"/>
      <c r="L159" s="391"/>
      <c r="M159" s="391"/>
      <c r="N159" s="391"/>
      <c r="O159" s="391"/>
      <c r="P159" s="391"/>
      <c r="Q159" s="391"/>
      <c r="R159" s="391"/>
      <c r="S159" s="391"/>
      <c r="T159" s="391"/>
      <c r="U159" s="391"/>
      <c r="V159" s="391"/>
      <c r="W159" s="391"/>
      <c r="X159" s="391"/>
      <c r="Y159" s="391"/>
      <c r="Z159" s="391"/>
      <c r="AA159" s="391"/>
      <c r="AB159" s="391"/>
      <c r="AC159" s="391"/>
      <c r="AD159" s="391"/>
      <c r="AE159" s="391"/>
      <c r="AF159" s="391"/>
      <c r="AG159" s="391"/>
      <c r="AH159" s="391"/>
      <c r="AI159" s="391"/>
      <c r="AJ159" s="391"/>
      <c r="AK159" s="391"/>
      <c r="AL159" s="391"/>
      <c r="AM159" s="391"/>
      <c r="AN159" s="391"/>
      <c r="AO159" s="391"/>
      <c r="AP159" s="391"/>
      <c r="AQ159" s="391"/>
      <c r="AR159" s="391"/>
      <c r="AS159" s="391"/>
      <c r="AT159" s="391"/>
      <c r="AU159" s="391"/>
      <c r="AV159" s="391"/>
      <c r="AW159" s="391"/>
      <c r="AX159" s="391"/>
      <c r="AY159" s="391"/>
      <c r="AZ159" s="391"/>
      <c r="BA159" s="391"/>
      <c r="BB159" s="6"/>
      <c r="BC159" s="6"/>
      <c r="BD159" s="6"/>
      <c r="BE159" s="6"/>
      <c r="BF159" s="3">
        <v>88.42</v>
      </c>
      <c r="BG159" s="3">
        <v>1.1000000000000001</v>
      </c>
      <c r="BH159" s="3">
        <f t="shared" si="27"/>
        <v>97.262000000000015</v>
      </c>
      <c r="BI159" s="3">
        <f>42.71+116.06</f>
        <v>158.77000000000001</v>
      </c>
      <c r="BJ159" s="3">
        <v>1.1000000000000001</v>
      </c>
      <c r="BK159" s="3">
        <f t="shared" si="28"/>
        <v>174.64700000000002</v>
      </c>
      <c r="BL159" s="3">
        <f>34+65</f>
        <v>99</v>
      </c>
      <c r="BM159" s="3">
        <v>371.61</v>
      </c>
      <c r="BO159" s="3">
        <f t="shared" si="29"/>
        <v>0</v>
      </c>
      <c r="BS159" s="10">
        <v>422024.06400000001</v>
      </c>
      <c r="BV159" s="3">
        <f t="shared" ref="BV159:BV171" si="31">+BV158</f>
        <v>90</v>
      </c>
      <c r="BW159" s="3">
        <f t="shared" si="30"/>
        <v>33444.9</v>
      </c>
    </row>
    <row r="160" spans="1:75">
      <c r="A160" s="3" t="s">
        <v>118</v>
      </c>
      <c r="B160" s="391"/>
      <c r="C160" s="391"/>
      <c r="D160" s="391"/>
      <c r="E160" s="391"/>
      <c r="F160" s="391"/>
      <c r="G160" s="391"/>
      <c r="H160" s="391"/>
      <c r="I160" s="391"/>
      <c r="J160" s="391"/>
      <c r="K160" s="391"/>
      <c r="L160" s="391"/>
      <c r="M160" s="391"/>
      <c r="N160" s="391"/>
      <c r="O160" s="391"/>
      <c r="P160" s="391"/>
      <c r="Q160" s="391"/>
      <c r="R160" s="391"/>
      <c r="S160" s="391"/>
      <c r="T160" s="391"/>
      <c r="U160" s="391"/>
      <c r="V160" s="391"/>
      <c r="W160" s="391"/>
      <c r="X160" s="391"/>
      <c r="Y160" s="391"/>
      <c r="Z160" s="391"/>
      <c r="AA160" s="391"/>
      <c r="AB160" s="391"/>
      <c r="AC160" s="391"/>
      <c r="AD160" s="391"/>
      <c r="AE160" s="391"/>
      <c r="AF160" s="391"/>
      <c r="AG160" s="391"/>
      <c r="AH160" s="391"/>
      <c r="AI160" s="391"/>
      <c r="AJ160" s="391"/>
      <c r="AK160" s="391"/>
      <c r="AL160" s="391"/>
      <c r="AM160" s="391"/>
      <c r="AN160" s="391"/>
      <c r="AO160" s="391"/>
      <c r="AP160" s="391"/>
      <c r="AQ160" s="391"/>
      <c r="AR160" s="391"/>
      <c r="AS160" s="391"/>
      <c r="AT160" s="391"/>
      <c r="AU160" s="391"/>
      <c r="AV160" s="391"/>
      <c r="AW160" s="391"/>
      <c r="AX160" s="391"/>
      <c r="AY160" s="391"/>
      <c r="AZ160" s="391"/>
      <c r="BA160" s="391"/>
      <c r="BB160" s="6"/>
      <c r="BC160" s="6"/>
      <c r="BD160" s="6"/>
      <c r="BE160" s="6"/>
      <c r="BF160" s="3">
        <v>67.739999999999995</v>
      </c>
      <c r="BG160" s="3">
        <v>1.1000000000000001</v>
      </c>
      <c r="BH160" s="3">
        <f t="shared" si="27"/>
        <v>74.513999999999996</v>
      </c>
      <c r="BI160" s="3">
        <f>23.8+65.32</f>
        <v>89.11999999999999</v>
      </c>
      <c r="BJ160" s="3">
        <v>1.1000000000000001</v>
      </c>
      <c r="BK160" s="3">
        <f t="shared" si="28"/>
        <v>98.031999999999996</v>
      </c>
      <c r="BL160" s="3">
        <f>30+49</f>
        <v>79</v>
      </c>
      <c r="BM160" s="3">
        <v>261.3</v>
      </c>
      <c r="BO160" s="3">
        <f t="shared" si="29"/>
        <v>0</v>
      </c>
      <c r="BS160" s="6">
        <v>349552.12</v>
      </c>
      <c r="BU160" s="2"/>
      <c r="BV160" s="3">
        <f t="shared" si="31"/>
        <v>90</v>
      </c>
      <c r="BW160" s="3">
        <f t="shared" si="30"/>
        <v>23517</v>
      </c>
    </row>
    <row r="161" spans="1:75">
      <c r="A161" s="3" t="s">
        <v>119</v>
      </c>
      <c r="B161" s="391"/>
      <c r="C161" s="391"/>
      <c r="D161" s="391"/>
      <c r="E161" s="391"/>
      <c r="F161" s="391"/>
      <c r="G161" s="391"/>
      <c r="H161" s="391"/>
      <c r="I161" s="391"/>
      <c r="J161" s="391"/>
      <c r="K161" s="391"/>
      <c r="L161" s="391"/>
      <c r="M161" s="391"/>
      <c r="N161" s="391"/>
      <c r="O161" s="391"/>
      <c r="P161" s="391"/>
      <c r="Q161" s="391"/>
      <c r="R161" s="391"/>
      <c r="S161" s="391"/>
      <c r="T161" s="391"/>
      <c r="U161" s="391"/>
      <c r="V161" s="391"/>
      <c r="W161" s="391"/>
      <c r="X161" s="391"/>
      <c r="Y161" s="391"/>
      <c r="Z161" s="391"/>
      <c r="AA161" s="391"/>
      <c r="AB161" s="391"/>
      <c r="AC161" s="391"/>
      <c r="AD161" s="391"/>
      <c r="AE161" s="391"/>
      <c r="AF161" s="391"/>
      <c r="AG161" s="391"/>
      <c r="AH161" s="391"/>
      <c r="AI161" s="391"/>
      <c r="AJ161" s="391"/>
      <c r="AK161" s="391"/>
      <c r="AL161" s="391"/>
      <c r="AM161" s="391"/>
      <c r="AN161" s="391"/>
      <c r="AO161" s="391"/>
      <c r="AP161" s="391"/>
      <c r="AQ161" s="391"/>
      <c r="AR161" s="391"/>
      <c r="AS161" s="391"/>
      <c r="AT161" s="391"/>
      <c r="AU161" s="391"/>
      <c r="AV161" s="391"/>
      <c r="AW161" s="391"/>
      <c r="AX161" s="391"/>
      <c r="AY161" s="391"/>
      <c r="AZ161" s="391"/>
      <c r="BA161" s="391"/>
      <c r="BB161" s="6"/>
      <c r="BC161" s="6"/>
      <c r="BD161" s="6"/>
      <c r="BE161" s="6"/>
      <c r="BF161" s="3">
        <v>67.790000000000006</v>
      </c>
      <c r="BG161" s="3">
        <v>1.1000000000000001</v>
      </c>
      <c r="BH161" s="3">
        <f t="shared" si="27"/>
        <v>74.569000000000017</v>
      </c>
      <c r="BI161" s="3">
        <f>23.8+82.05</f>
        <v>105.85</v>
      </c>
      <c r="BJ161" s="3">
        <v>1.1000000000000001</v>
      </c>
      <c r="BK161" s="3">
        <f t="shared" si="28"/>
        <v>116.435</v>
      </c>
      <c r="BL161" s="3">
        <f>17.5+57.5</f>
        <v>75</v>
      </c>
      <c r="BM161" s="3">
        <v>291.60000000000002</v>
      </c>
      <c r="BO161" s="3">
        <f t="shared" si="29"/>
        <v>0</v>
      </c>
      <c r="BS161" s="6">
        <v>380005.84</v>
      </c>
      <c r="BU161" s="2"/>
      <c r="BV161" s="3">
        <f t="shared" si="31"/>
        <v>90</v>
      </c>
      <c r="BW161" s="3">
        <f t="shared" si="30"/>
        <v>26244.000000000004</v>
      </c>
    </row>
    <row r="162" spans="1:75">
      <c r="A162" s="3" t="s">
        <v>120</v>
      </c>
      <c r="B162" s="391"/>
      <c r="C162" s="391"/>
      <c r="D162" s="391"/>
      <c r="E162" s="391"/>
      <c r="F162" s="391"/>
      <c r="G162" s="391"/>
      <c r="H162" s="391"/>
      <c r="I162" s="391"/>
      <c r="J162" s="391"/>
      <c r="K162" s="391"/>
      <c r="L162" s="391"/>
      <c r="M162" s="391"/>
      <c r="N162" s="391"/>
      <c r="O162" s="391"/>
      <c r="P162" s="391"/>
      <c r="Q162" s="391"/>
      <c r="R162" s="391"/>
      <c r="S162" s="391"/>
      <c r="T162" s="391"/>
      <c r="U162" s="391"/>
      <c r="V162" s="391"/>
      <c r="W162" s="391"/>
      <c r="X162" s="391"/>
      <c r="Y162" s="391"/>
      <c r="Z162" s="391"/>
      <c r="AA162" s="391"/>
      <c r="AB162" s="391"/>
      <c r="AC162" s="391"/>
      <c r="AD162" s="391"/>
      <c r="AE162" s="391"/>
      <c r="AF162" s="391"/>
      <c r="AG162" s="391"/>
      <c r="AH162" s="391"/>
      <c r="AI162" s="391"/>
      <c r="AJ162" s="391"/>
      <c r="AK162" s="391"/>
      <c r="AL162" s="391"/>
      <c r="AM162" s="391"/>
      <c r="AN162" s="391"/>
      <c r="AO162" s="391"/>
      <c r="AP162" s="391"/>
      <c r="AQ162" s="391"/>
      <c r="AR162" s="391"/>
      <c r="AS162" s="391"/>
      <c r="AT162" s="391"/>
      <c r="AU162" s="391"/>
      <c r="AV162" s="391"/>
      <c r="AW162" s="391"/>
      <c r="AX162" s="391"/>
      <c r="AY162" s="391"/>
      <c r="AZ162" s="391"/>
      <c r="BA162" s="391"/>
      <c r="BB162" s="6"/>
      <c r="BC162" s="6"/>
      <c r="BD162" s="6"/>
      <c r="BE162" s="6"/>
      <c r="BF162" s="3">
        <v>67.67</v>
      </c>
      <c r="BG162" s="3">
        <v>1.1000000000000001</v>
      </c>
      <c r="BH162" s="3">
        <f t="shared" si="27"/>
        <v>74.437000000000012</v>
      </c>
      <c r="BI162" s="3">
        <f>23.8+105.9</f>
        <v>129.70000000000002</v>
      </c>
      <c r="BJ162" s="3">
        <v>1.1000000000000001</v>
      </c>
      <c r="BK162" s="3">
        <f t="shared" si="28"/>
        <v>142.67000000000004</v>
      </c>
      <c r="BL162" s="3">
        <f>16+57.5</f>
        <v>73.5</v>
      </c>
      <c r="BM162" s="3">
        <v>315.5</v>
      </c>
      <c r="BO162" s="3">
        <f t="shared" si="29"/>
        <v>0</v>
      </c>
      <c r="BS162" s="6">
        <v>393926.2</v>
      </c>
      <c r="BU162" s="2"/>
      <c r="BV162" s="3">
        <f t="shared" si="31"/>
        <v>90</v>
      </c>
      <c r="BW162" s="3">
        <f t="shared" si="30"/>
        <v>28395</v>
      </c>
    </row>
    <row r="163" spans="1:75">
      <c r="A163" s="3" t="s">
        <v>121</v>
      </c>
      <c r="B163" s="391"/>
      <c r="C163" s="391"/>
      <c r="D163" s="391"/>
      <c r="E163" s="391"/>
      <c r="F163" s="391"/>
      <c r="G163" s="391"/>
      <c r="H163" s="391"/>
      <c r="I163" s="391"/>
      <c r="J163" s="391"/>
      <c r="K163" s="391"/>
      <c r="L163" s="391"/>
      <c r="M163" s="391"/>
      <c r="N163" s="391"/>
      <c r="O163" s="391"/>
      <c r="P163" s="391"/>
      <c r="Q163" s="391"/>
      <c r="R163" s="391"/>
      <c r="S163" s="391"/>
      <c r="T163" s="391"/>
      <c r="U163" s="391"/>
      <c r="V163" s="391"/>
      <c r="W163" s="391"/>
      <c r="X163" s="391"/>
      <c r="Y163" s="391"/>
      <c r="Z163" s="391"/>
      <c r="AA163" s="391"/>
      <c r="AB163" s="391"/>
      <c r="AC163" s="391"/>
      <c r="AD163" s="391"/>
      <c r="AE163" s="391"/>
      <c r="AF163" s="391"/>
      <c r="AG163" s="391"/>
      <c r="AH163" s="391"/>
      <c r="AI163" s="391"/>
      <c r="AJ163" s="391"/>
      <c r="AK163" s="391"/>
      <c r="AL163" s="391"/>
      <c r="AM163" s="391"/>
      <c r="AN163" s="391"/>
      <c r="AO163" s="391"/>
      <c r="AP163" s="391"/>
      <c r="AQ163" s="391"/>
      <c r="AR163" s="391"/>
      <c r="AS163" s="391"/>
      <c r="AT163" s="391"/>
      <c r="AU163" s="391"/>
      <c r="AV163" s="391"/>
      <c r="AW163" s="391"/>
      <c r="AX163" s="391"/>
      <c r="AY163" s="391"/>
      <c r="AZ163" s="391"/>
      <c r="BA163" s="391"/>
      <c r="BB163" s="6"/>
      <c r="BC163" s="6"/>
      <c r="BD163" s="6"/>
      <c r="BE163" s="6"/>
      <c r="BF163" s="3">
        <v>70.05</v>
      </c>
      <c r="BG163" s="3">
        <v>1.1000000000000001</v>
      </c>
      <c r="BH163" s="3">
        <f t="shared" si="27"/>
        <v>77.055000000000007</v>
      </c>
      <c r="BI163" s="3">
        <f>35.75+82.05</f>
        <v>117.8</v>
      </c>
      <c r="BJ163" s="3">
        <v>1.1000000000000001</v>
      </c>
      <c r="BK163" s="3">
        <f t="shared" si="28"/>
        <v>129.58000000000001</v>
      </c>
      <c r="BL163" s="3">
        <f>32+51</f>
        <v>83</v>
      </c>
      <c r="BM163" s="3">
        <v>326.35000000000002</v>
      </c>
      <c r="BO163" s="3">
        <f t="shared" si="29"/>
        <v>0</v>
      </c>
      <c r="BS163" s="10">
        <v>406710.24</v>
      </c>
      <c r="BU163" s="2"/>
      <c r="BV163" s="3">
        <f t="shared" si="31"/>
        <v>90</v>
      </c>
      <c r="BW163" s="3">
        <f t="shared" si="30"/>
        <v>29371.500000000004</v>
      </c>
    </row>
    <row r="164" spans="1:75">
      <c r="A164" s="3" t="s">
        <v>122</v>
      </c>
      <c r="B164" s="391"/>
      <c r="C164" s="391"/>
      <c r="D164" s="391"/>
      <c r="E164" s="391"/>
      <c r="F164" s="391"/>
      <c r="G164" s="391"/>
      <c r="H164" s="391"/>
      <c r="I164" s="391"/>
      <c r="J164" s="391"/>
      <c r="K164" s="391"/>
      <c r="L164" s="391"/>
      <c r="M164" s="391"/>
      <c r="N164" s="391"/>
      <c r="O164" s="391"/>
      <c r="P164" s="391"/>
      <c r="Q164" s="391"/>
      <c r="R164" s="391"/>
      <c r="S164" s="391"/>
      <c r="T164" s="391"/>
      <c r="U164" s="391"/>
      <c r="V164" s="391"/>
      <c r="W164" s="391"/>
      <c r="X164" s="391"/>
      <c r="Y164" s="391"/>
      <c r="Z164" s="391"/>
      <c r="AA164" s="391"/>
      <c r="AB164" s="391"/>
      <c r="AC164" s="391"/>
      <c r="AD164" s="391"/>
      <c r="AE164" s="391"/>
      <c r="AF164" s="391"/>
      <c r="AG164" s="391"/>
      <c r="AH164" s="391"/>
      <c r="AI164" s="391"/>
      <c r="AJ164" s="391"/>
      <c r="AK164" s="391"/>
      <c r="AL164" s="391"/>
      <c r="AM164" s="391"/>
      <c r="AN164" s="391"/>
      <c r="AO164" s="391"/>
      <c r="AP164" s="391"/>
      <c r="AQ164" s="391"/>
      <c r="AR164" s="391"/>
      <c r="AS164" s="391"/>
      <c r="AT164" s="391"/>
      <c r="AU164" s="391"/>
      <c r="AV164" s="391"/>
      <c r="AW164" s="391"/>
      <c r="AX164" s="391"/>
      <c r="AY164" s="391"/>
      <c r="AZ164" s="391"/>
      <c r="BA164" s="391"/>
      <c r="BB164" s="6"/>
      <c r="BC164" s="6"/>
      <c r="BD164" s="6"/>
      <c r="BE164" s="6"/>
      <c r="BF164" s="3">
        <v>71.2</v>
      </c>
      <c r="BG164" s="3">
        <v>1.1000000000000001</v>
      </c>
      <c r="BH164" s="3">
        <f t="shared" si="27"/>
        <v>78.320000000000007</v>
      </c>
      <c r="BI164" s="3">
        <f>48.44+95.03</f>
        <v>143.47</v>
      </c>
      <c r="BJ164" s="3">
        <v>1.1000000000000001</v>
      </c>
      <c r="BK164" s="3">
        <f t="shared" si="28"/>
        <v>157.81700000000001</v>
      </c>
      <c r="BL164" s="3">
        <f>29.5+52</f>
        <v>81.5</v>
      </c>
      <c r="BM164" s="3">
        <v>359.96</v>
      </c>
      <c r="BO164" s="3">
        <f t="shared" si="29"/>
        <v>0</v>
      </c>
      <c r="BS164" s="10">
        <v>423263.10399999999</v>
      </c>
      <c r="BV164" s="3">
        <f t="shared" si="31"/>
        <v>90</v>
      </c>
      <c r="BW164" s="3">
        <f t="shared" si="30"/>
        <v>32396.399999999998</v>
      </c>
    </row>
    <row r="165" spans="1:75">
      <c r="A165" s="3" t="s">
        <v>123</v>
      </c>
      <c r="B165" s="391"/>
      <c r="C165" s="391"/>
      <c r="D165" s="391"/>
      <c r="E165" s="391"/>
      <c r="F165" s="391"/>
      <c r="G165" s="391"/>
      <c r="H165" s="391"/>
      <c r="I165" s="391"/>
      <c r="J165" s="391"/>
      <c r="K165" s="391"/>
      <c r="L165" s="391"/>
      <c r="M165" s="391"/>
      <c r="N165" s="391"/>
      <c r="O165" s="391"/>
      <c r="P165" s="391"/>
      <c r="Q165" s="391"/>
      <c r="R165" s="391"/>
      <c r="S165" s="391"/>
      <c r="T165" s="391"/>
      <c r="U165" s="391"/>
      <c r="V165" s="391"/>
      <c r="W165" s="391"/>
      <c r="X165" s="391"/>
      <c r="Y165" s="391"/>
      <c r="Z165" s="391"/>
      <c r="AA165" s="391"/>
      <c r="AB165" s="391"/>
      <c r="AC165" s="391"/>
      <c r="AD165" s="391"/>
      <c r="AE165" s="391"/>
      <c r="AF165" s="391"/>
      <c r="AG165" s="391"/>
      <c r="AH165" s="391"/>
      <c r="AI165" s="391"/>
      <c r="AJ165" s="391"/>
      <c r="AK165" s="391"/>
      <c r="AL165" s="391"/>
      <c r="AM165" s="391"/>
      <c r="AN165" s="391"/>
      <c r="AO165" s="391"/>
      <c r="AP165" s="391"/>
      <c r="AQ165" s="391"/>
      <c r="AR165" s="391"/>
      <c r="AS165" s="391"/>
      <c r="AT165" s="391"/>
      <c r="AU165" s="391"/>
      <c r="AV165" s="391"/>
      <c r="AW165" s="391"/>
      <c r="AX165" s="391"/>
      <c r="AY165" s="391"/>
      <c r="AZ165" s="391"/>
      <c r="BA165" s="391"/>
      <c r="BB165" s="6"/>
      <c r="BC165" s="6"/>
      <c r="BD165" s="6"/>
      <c r="BE165" s="6"/>
      <c r="BF165" s="3">
        <v>94.71</v>
      </c>
      <c r="BG165" s="3">
        <v>1.1000000000000001</v>
      </c>
      <c r="BH165" s="3">
        <f t="shared" si="27"/>
        <v>104.181</v>
      </c>
      <c r="BI165" s="3">
        <f>38.04+111.96</f>
        <v>150</v>
      </c>
      <c r="BJ165" s="3">
        <v>1.1000000000000001</v>
      </c>
      <c r="BK165" s="3">
        <f t="shared" si="28"/>
        <v>165</v>
      </c>
      <c r="BL165" s="3">
        <f>14+60</f>
        <v>74</v>
      </c>
      <c r="BM165" s="3">
        <v>417.61</v>
      </c>
      <c r="BO165" s="3">
        <f t="shared" si="29"/>
        <v>0</v>
      </c>
      <c r="BS165" s="10">
        <v>472654.46399999998</v>
      </c>
      <c r="BV165" s="3">
        <f t="shared" si="31"/>
        <v>90</v>
      </c>
      <c r="BW165" s="3">
        <f t="shared" si="30"/>
        <v>37584.9</v>
      </c>
    </row>
    <row r="166" spans="1:75">
      <c r="A166" s="3" t="s">
        <v>124</v>
      </c>
      <c r="B166" s="391"/>
      <c r="C166" s="391"/>
      <c r="D166" s="391"/>
      <c r="E166" s="391"/>
      <c r="F166" s="391"/>
      <c r="G166" s="391"/>
      <c r="H166" s="391"/>
      <c r="I166" s="391"/>
      <c r="J166" s="391"/>
      <c r="K166" s="391"/>
      <c r="L166" s="391"/>
      <c r="M166" s="391"/>
      <c r="N166" s="391"/>
      <c r="O166" s="391"/>
      <c r="P166" s="391"/>
      <c r="Q166" s="391"/>
      <c r="R166" s="391"/>
      <c r="S166" s="391"/>
      <c r="T166" s="391"/>
      <c r="U166" s="391"/>
      <c r="V166" s="391"/>
      <c r="W166" s="391"/>
      <c r="X166" s="391"/>
      <c r="Y166" s="391"/>
      <c r="Z166" s="391"/>
      <c r="AA166" s="391"/>
      <c r="AB166" s="391"/>
      <c r="AC166" s="391"/>
      <c r="AD166" s="391"/>
      <c r="AE166" s="391"/>
      <c r="AF166" s="391"/>
      <c r="AG166" s="391"/>
      <c r="AH166" s="391"/>
      <c r="AI166" s="391"/>
      <c r="AJ166" s="391"/>
      <c r="AK166" s="391"/>
      <c r="AL166" s="391"/>
      <c r="AM166" s="391"/>
      <c r="AN166" s="391"/>
      <c r="AO166" s="391"/>
      <c r="AP166" s="391"/>
      <c r="AQ166" s="391"/>
      <c r="AR166" s="391"/>
      <c r="AS166" s="391"/>
      <c r="AT166" s="391"/>
      <c r="AU166" s="391"/>
      <c r="AV166" s="391"/>
      <c r="AW166" s="391"/>
      <c r="AX166" s="391"/>
      <c r="AY166" s="391"/>
      <c r="AZ166" s="391"/>
      <c r="BA166" s="391"/>
      <c r="BB166" s="6"/>
      <c r="BC166" s="6"/>
      <c r="BD166" s="6"/>
      <c r="BE166" s="6"/>
      <c r="BF166" s="3">
        <v>54.9</v>
      </c>
      <c r="BG166" s="3">
        <v>1.1000000000000001</v>
      </c>
      <c r="BH166" s="3">
        <f t="shared" si="27"/>
        <v>60.39</v>
      </c>
      <c r="BI166" s="3">
        <f>10.43+64.14</f>
        <v>74.569999999999993</v>
      </c>
      <c r="BJ166" s="3">
        <v>1.1000000000000001</v>
      </c>
      <c r="BK166" s="3">
        <f t="shared" si="28"/>
        <v>82.027000000000001</v>
      </c>
      <c r="BL166" s="3">
        <f>19+46</f>
        <v>65</v>
      </c>
      <c r="BM166" s="3">
        <v>222.58</v>
      </c>
      <c r="BO166" s="3">
        <f t="shared" si="29"/>
        <v>0</v>
      </c>
      <c r="BS166" s="10">
        <v>340735.79200000002</v>
      </c>
      <c r="BV166" s="3">
        <f t="shared" si="31"/>
        <v>90</v>
      </c>
      <c r="BW166" s="3">
        <f t="shared" si="30"/>
        <v>20032.2</v>
      </c>
    </row>
    <row r="167" spans="1:75">
      <c r="A167" s="3" t="s">
        <v>125</v>
      </c>
      <c r="B167" s="391"/>
      <c r="C167" s="391"/>
      <c r="D167" s="391"/>
      <c r="E167" s="391"/>
      <c r="F167" s="391"/>
      <c r="G167" s="391"/>
      <c r="H167" s="391"/>
      <c r="I167" s="391"/>
      <c r="J167" s="391"/>
      <c r="K167" s="391"/>
      <c r="L167" s="391"/>
      <c r="M167" s="391"/>
      <c r="N167" s="391"/>
      <c r="O167" s="391"/>
      <c r="P167" s="391"/>
      <c r="Q167" s="391"/>
      <c r="R167" s="391"/>
      <c r="S167" s="391"/>
      <c r="T167" s="391"/>
      <c r="U167" s="391"/>
      <c r="V167" s="391"/>
      <c r="W167" s="391"/>
      <c r="X167" s="391"/>
      <c r="Y167" s="391"/>
      <c r="Z167" s="391"/>
      <c r="AA167" s="391"/>
      <c r="AB167" s="391"/>
      <c r="AC167" s="391"/>
      <c r="AD167" s="391"/>
      <c r="AE167" s="391"/>
      <c r="AF167" s="391"/>
      <c r="AG167" s="391"/>
      <c r="AH167" s="391"/>
      <c r="AI167" s="391"/>
      <c r="AJ167" s="391"/>
      <c r="AK167" s="391"/>
      <c r="AL167" s="391"/>
      <c r="AM167" s="391"/>
      <c r="AN167" s="391"/>
      <c r="AO167" s="391"/>
      <c r="AP167" s="391"/>
      <c r="AQ167" s="391"/>
      <c r="AR167" s="391"/>
      <c r="AS167" s="391"/>
      <c r="AT167" s="391"/>
      <c r="AU167" s="391"/>
      <c r="AV167" s="391"/>
      <c r="AW167" s="391"/>
      <c r="AX167" s="391"/>
      <c r="AY167" s="391"/>
      <c r="AZ167" s="391"/>
      <c r="BA167" s="391"/>
      <c r="BB167" s="6"/>
      <c r="BC167" s="6"/>
      <c r="BD167" s="6"/>
      <c r="BE167" s="6"/>
      <c r="BF167" s="3">
        <v>61.79</v>
      </c>
      <c r="BG167" s="3">
        <v>1.1000000000000001</v>
      </c>
      <c r="BH167" s="3">
        <f t="shared" si="27"/>
        <v>67.969000000000008</v>
      </c>
      <c r="BI167" s="3">
        <f>20.86+72.81</f>
        <v>93.67</v>
      </c>
      <c r="BJ167" s="3">
        <v>1.1000000000000001</v>
      </c>
      <c r="BK167" s="3">
        <f t="shared" si="28"/>
        <v>103.03700000000001</v>
      </c>
      <c r="BL167" s="3">
        <f>35+48</f>
        <v>83</v>
      </c>
      <c r="BM167" s="3">
        <v>250.76</v>
      </c>
      <c r="BO167" s="3">
        <f t="shared" si="29"/>
        <v>0</v>
      </c>
      <c r="BS167" s="10">
        <v>359987.02399999998</v>
      </c>
      <c r="BV167" s="3">
        <f t="shared" si="31"/>
        <v>90</v>
      </c>
      <c r="BW167" s="3">
        <f t="shared" si="30"/>
        <v>22568.399999999998</v>
      </c>
    </row>
    <row r="168" spans="1:75">
      <c r="A168" s="3" t="s">
        <v>126</v>
      </c>
      <c r="B168" s="391"/>
      <c r="C168" s="391"/>
      <c r="D168" s="391"/>
      <c r="E168" s="391"/>
      <c r="F168" s="391"/>
      <c r="G168" s="391"/>
      <c r="H168" s="391"/>
      <c r="I168" s="391"/>
      <c r="J168" s="391"/>
      <c r="K168" s="391"/>
      <c r="L168" s="391"/>
      <c r="M168" s="391"/>
      <c r="N168" s="391"/>
      <c r="O168" s="391"/>
      <c r="P168" s="391"/>
      <c r="Q168" s="391"/>
      <c r="R168" s="391"/>
      <c r="S168" s="391"/>
      <c r="T168" s="391"/>
      <c r="U168" s="391"/>
      <c r="V168" s="391"/>
      <c r="W168" s="391"/>
      <c r="X168" s="391"/>
      <c r="Y168" s="391"/>
      <c r="Z168" s="391"/>
      <c r="AA168" s="391"/>
      <c r="AB168" s="391"/>
      <c r="AC168" s="391"/>
      <c r="AD168" s="391"/>
      <c r="AE168" s="391"/>
      <c r="AF168" s="391"/>
      <c r="AG168" s="391"/>
      <c r="AH168" s="391"/>
      <c r="AI168" s="391"/>
      <c r="AJ168" s="391"/>
      <c r="AK168" s="391"/>
      <c r="AL168" s="391"/>
      <c r="AM168" s="391"/>
      <c r="AN168" s="391"/>
      <c r="AO168" s="391"/>
      <c r="AP168" s="391"/>
      <c r="AQ168" s="391"/>
      <c r="AR168" s="391"/>
      <c r="AS168" s="391"/>
      <c r="AT168" s="391"/>
      <c r="AU168" s="391"/>
      <c r="AV168" s="391"/>
      <c r="AW168" s="391"/>
      <c r="AX168" s="391"/>
      <c r="AY168" s="391"/>
      <c r="AZ168" s="391"/>
      <c r="BA168" s="391"/>
      <c r="BB168" s="6"/>
      <c r="BC168" s="6"/>
      <c r="BD168" s="6"/>
      <c r="BE168" s="6"/>
      <c r="BF168" s="3">
        <v>70.48</v>
      </c>
      <c r="BG168" s="3">
        <v>1.1000000000000001</v>
      </c>
      <c r="BH168" s="3">
        <f t="shared" si="27"/>
        <v>77.528000000000006</v>
      </c>
      <c r="BI168" s="3">
        <f>10.23+106.88</f>
        <v>117.11</v>
      </c>
      <c r="BJ168" s="3">
        <v>1.1000000000000001</v>
      </c>
      <c r="BK168" s="3">
        <f t="shared" si="28"/>
        <v>128.821</v>
      </c>
      <c r="BL168" s="3">
        <f>6+59</f>
        <v>65</v>
      </c>
      <c r="BM168" s="3">
        <v>304.62</v>
      </c>
      <c r="BO168" s="3">
        <f t="shared" si="29"/>
        <v>0</v>
      </c>
      <c r="BS168" s="10">
        <v>404153.48800000001</v>
      </c>
      <c r="BV168" s="3">
        <f t="shared" si="31"/>
        <v>90</v>
      </c>
      <c r="BW168" s="3">
        <f t="shared" si="30"/>
        <v>27415.8</v>
      </c>
    </row>
    <row r="169" spans="1:75">
      <c r="A169" s="3" t="s">
        <v>127</v>
      </c>
      <c r="B169" s="391"/>
      <c r="C169" s="391"/>
      <c r="D169" s="391"/>
      <c r="E169" s="391"/>
      <c r="F169" s="391"/>
      <c r="G169" s="391"/>
      <c r="H169" s="391"/>
      <c r="I169" s="391"/>
      <c r="J169" s="391"/>
      <c r="K169" s="391"/>
      <c r="L169" s="391"/>
      <c r="M169" s="391"/>
      <c r="N169" s="391"/>
      <c r="O169" s="391"/>
      <c r="P169" s="391"/>
      <c r="Q169" s="391"/>
      <c r="R169" s="391"/>
      <c r="S169" s="391"/>
      <c r="T169" s="391"/>
      <c r="U169" s="391"/>
      <c r="V169" s="391"/>
      <c r="W169" s="391"/>
      <c r="X169" s="391"/>
      <c r="Y169" s="391"/>
      <c r="Z169" s="391"/>
      <c r="AA169" s="391"/>
      <c r="AB169" s="391"/>
      <c r="AC169" s="391"/>
      <c r="AD169" s="391"/>
      <c r="AE169" s="391"/>
      <c r="AF169" s="391"/>
      <c r="AG169" s="391"/>
      <c r="AH169" s="391"/>
      <c r="AI169" s="391"/>
      <c r="AJ169" s="391"/>
      <c r="AK169" s="391"/>
      <c r="AL169" s="391"/>
      <c r="AM169" s="391"/>
      <c r="AN169" s="391"/>
      <c r="AO169" s="391"/>
      <c r="AP169" s="391"/>
      <c r="AQ169" s="391"/>
      <c r="AR169" s="391"/>
      <c r="AS169" s="391"/>
      <c r="AT169" s="391"/>
      <c r="AU169" s="391"/>
      <c r="AV169" s="391"/>
      <c r="AW169" s="391"/>
      <c r="AX169" s="391"/>
      <c r="AY169" s="391"/>
      <c r="AZ169" s="391"/>
      <c r="BA169" s="391"/>
      <c r="BB169" s="6"/>
      <c r="BC169" s="6"/>
      <c r="BD169" s="6"/>
      <c r="BE169" s="6"/>
      <c r="BF169" s="3">
        <v>51.5</v>
      </c>
      <c r="BG169" s="3">
        <v>1.1000000000000001</v>
      </c>
      <c r="BH169" s="3">
        <f t="shared" si="27"/>
        <v>56.650000000000006</v>
      </c>
      <c r="BI169" s="3">
        <f>5.8+54</f>
        <v>59.8</v>
      </c>
      <c r="BJ169" s="3">
        <v>1.1000000000000001</v>
      </c>
      <c r="BK169" s="3">
        <f t="shared" si="28"/>
        <v>65.78</v>
      </c>
      <c r="BL169" s="3">
        <f>26+40.5</f>
        <v>66.5</v>
      </c>
      <c r="BM169" s="3">
        <v>202.51</v>
      </c>
      <c r="BO169" s="3">
        <f t="shared" si="29"/>
        <v>0</v>
      </c>
      <c r="BS169" s="10">
        <v>323516.22399999999</v>
      </c>
      <c r="BV169" s="3">
        <f t="shared" si="31"/>
        <v>90</v>
      </c>
      <c r="BW169" s="3">
        <f t="shared" si="30"/>
        <v>18225.899999999998</v>
      </c>
    </row>
    <row r="170" spans="1:75">
      <c r="A170" s="3" t="s">
        <v>1152</v>
      </c>
      <c r="B170" s="391"/>
      <c r="C170" s="391"/>
      <c r="D170" s="391"/>
      <c r="E170" s="391"/>
      <c r="F170" s="391"/>
      <c r="G170" s="391"/>
      <c r="H170" s="391"/>
      <c r="I170" s="391"/>
      <c r="J170" s="391"/>
      <c r="K170" s="391"/>
      <c r="L170" s="391"/>
      <c r="M170" s="391"/>
      <c r="N170" s="391"/>
      <c r="O170" s="391"/>
      <c r="P170" s="391"/>
      <c r="Q170" s="391"/>
      <c r="R170" s="391"/>
      <c r="S170" s="391"/>
      <c r="T170" s="391"/>
      <c r="U170" s="391"/>
      <c r="V170" s="391"/>
      <c r="W170" s="391"/>
      <c r="X170" s="391"/>
      <c r="Y170" s="391"/>
      <c r="Z170" s="391"/>
      <c r="AA170" s="391"/>
      <c r="AB170" s="391"/>
      <c r="AC170" s="391"/>
      <c r="AD170" s="391"/>
      <c r="AE170" s="391"/>
      <c r="AF170" s="391"/>
      <c r="AG170" s="391"/>
      <c r="AH170" s="391"/>
      <c r="AI170" s="391"/>
      <c r="AJ170" s="391"/>
      <c r="AK170" s="391"/>
      <c r="AL170" s="391"/>
      <c r="AM170" s="391"/>
      <c r="AN170" s="391"/>
      <c r="AO170" s="391"/>
      <c r="AP170" s="391"/>
      <c r="AQ170" s="391"/>
      <c r="AR170" s="391"/>
      <c r="AS170" s="391"/>
      <c r="AT170" s="391"/>
      <c r="AU170" s="391"/>
      <c r="AV170" s="391"/>
      <c r="AW170" s="391"/>
      <c r="AX170" s="391"/>
      <c r="AY170" s="391"/>
      <c r="AZ170" s="391"/>
      <c r="BA170" s="391"/>
      <c r="BB170" s="6"/>
      <c r="BC170" s="6"/>
      <c r="BD170" s="6"/>
      <c r="BE170" s="6"/>
      <c r="BF170" s="3">
        <v>62.44</v>
      </c>
      <c r="BG170" s="3">
        <v>1.1000000000000001</v>
      </c>
      <c r="BH170" s="3">
        <f t="shared" si="27"/>
        <v>68.683999999999997</v>
      </c>
      <c r="BI170" s="3">
        <f>16.7+85.24</f>
        <v>101.94</v>
      </c>
      <c r="BJ170" s="3">
        <v>1.1000000000000001</v>
      </c>
      <c r="BK170" s="3">
        <f t="shared" si="28"/>
        <v>112.134</v>
      </c>
      <c r="BL170" s="3">
        <f>18+49</f>
        <v>67</v>
      </c>
      <c r="BM170" s="3">
        <v>262.41000000000003</v>
      </c>
      <c r="BO170" s="3">
        <f t="shared" si="29"/>
        <v>0</v>
      </c>
      <c r="BS170" s="10">
        <v>362227.984</v>
      </c>
      <c r="BV170" s="3">
        <f t="shared" si="31"/>
        <v>90</v>
      </c>
      <c r="BW170" s="3">
        <f t="shared" si="30"/>
        <v>23616.9</v>
      </c>
    </row>
    <row r="171" spans="1:75">
      <c r="A171" s="3" t="s">
        <v>128</v>
      </c>
      <c r="B171" s="391"/>
      <c r="C171" s="391"/>
      <c r="D171" s="391"/>
      <c r="E171" s="391"/>
      <c r="F171" s="391"/>
      <c r="G171" s="391"/>
      <c r="H171" s="391"/>
      <c r="I171" s="391"/>
      <c r="J171" s="391"/>
      <c r="K171" s="391"/>
      <c r="L171" s="391"/>
      <c r="M171" s="391"/>
      <c r="N171" s="391"/>
      <c r="O171" s="391"/>
      <c r="P171" s="391"/>
      <c r="Q171" s="391"/>
      <c r="R171" s="391"/>
      <c r="S171" s="391"/>
      <c r="T171" s="391"/>
      <c r="U171" s="391"/>
      <c r="V171" s="391"/>
      <c r="W171" s="391"/>
      <c r="X171" s="391"/>
      <c r="Y171" s="391"/>
      <c r="Z171" s="391"/>
      <c r="AA171" s="391"/>
      <c r="AB171" s="391"/>
      <c r="AC171" s="391"/>
      <c r="AD171" s="391"/>
      <c r="AE171" s="391"/>
      <c r="AF171" s="391"/>
      <c r="AG171" s="391"/>
      <c r="AH171" s="391"/>
      <c r="AI171" s="391"/>
      <c r="AJ171" s="391"/>
      <c r="AK171" s="391"/>
      <c r="AL171" s="391"/>
      <c r="AM171" s="391"/>
      <c r="AN171" s="391"/>
      <c r="AO171" s="391"/>
      <c r="AP171" s="391"/>
      <c r="AQ171" s="391"/>
      <c r="AR171" s="391"/>
      <c r="AS171" s="391"/>
      <c r="AT171" s="391"/>
      <c r="AU171" s="391"/>
      <c r="AV171" s="391"/>
      <c r="AW171" s="391"/>
      <c r="AX171" s="391"/>
      <c r="AY171" s="391"/>
      <c r="AZ171" s="391"/>
      <c r="BA171" s="391"/>
      <c r="BB171" s="6"/>
      <c r="BC171" s="6"/>
      <c r="BD171" s="6"/>
      <c r="BE171" s="6"/>
      <c r="BF171" s="3">
        <v>74.13</v>
      </c>
      <c r="BG171" s="3">
        <v>1.1000000000000001</v>
      </c>
      <c r="BH171" s="3">
        <f t="shared" si="27"/>
        <v>81.543000000000006</v>
      </c>
      <c r="BI171" s="3">
        <f>32.06+85.74</f>
        <v>117.8</v>
      </c>
      <c r="BJ171" s="3">
        <v>1.1000000000000001</v>
      </c>
      <c r="BK171" s="3">
        <f t="shared" si="28"/>
        <v>129.58000000000001</v>
      </c>
      <c r="BL171" s="3">
        <f>35+48</f>
        <v>83</v>
      </c>
      <c r="BM171" s="3">
        <v>294.07</v>
      </c>
      <c r="BO171" s="3">
        <f t="shared" si="29"/>
        <v>0</v>
      </c>
      <c r="BS171" s="10">
        <v>384787.16800000001</v>
      </c>
      <c r="BV171" s="3">
        <f t="shared" si="31"/>
        <v>90</v>
      </c>
      <c r="BW171" s="3">
        <f t="shared" si="30"/>
        <v>26466.3</v>
      </c>
    </row>
    <row r="176" spans="1:75">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c r="AY176" s="11"/>
      <c r="AZ176" s="11"/>
      <c r="BA176" s="11"/>
    </row>
    <row r="178" spans="2:53">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c r="AY178" s="11"/>
      <c r="AZ178" s="11"/>
      <c r="BA178" s="11"/>
    </row>
  </sheetData>
  <mergeCells count="2">
    <mergeCell ref="AE11:AL11"/>
    <mergeCell ref="AO11:AU11"/>
  </mergeCells>
  <phoneticPr fontId="57"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F81BD-A2CE-4570-B58A-81C3F7634547}">
  <sheetPr codeName="Sheet3"/>
  <dimension ref="B5:J17"/>
  <sheetViews>
    <sheetView workbookViewId="0">
      <selection activeCell="A287" sqref="A287"/>
    </sheetView>
  </sheetViews>
  <sheetFormatPr defaultRowHeight="15"/>
  <cols>
    <col min="2" max="2" width="15.28515625" style="13" customWidth="1"/>
    <col min="3" max="5" width="12.7109375" customWidth="1"/>
  </cols>
  <sheetData>
    <row r="5" spans="2:10" ht="30">
      <c r="C5" t="s">
        <v>1211</v>
      </c>
      <c r="D5" t="s">
        <v>1212</v>
      </c>
      <c r="E5" s="13" t="s">
        <v>1213</v>
      </c>
    </row>
    <row r="6" spans="2:10">
      <c r="B6" s="13" t="s">
        <v>1214</v>
      </c>
      <c r="C6">
        <v>14154.02</v>
      </c>
      <c r="D6">
        <v>16686.009999999998</v>
      </c>
      <c r="E6">
        <v>18542.009999999998</v>
      </c>
      <c r="H6">
        <f>+D6-C6</f>
        <v>2531.989999999998</v>
      </c>
      <c r="J6">
        <f>+E6-D6</f>
        <v>1856</v>
      </c>
    </row>
    <row r="7" spans="2:10">
      <c r="B7" s="13" t="s">
        <v>1215</v>
      </c>
      <c r="C7">
        <v>17723.13</v>
      </c>
      <c r="D7">
        <v>21199.93</v>
      </c>
      <c r="E7">
        <v>23055.26</v>
      </c>
      <c r="H7">
        <f>+D7-C7</f>
        <v>3476.7999999999993</v>
      </c>
      <c r="J7">
        <f>+E7-D7</f>
        <v>1855.3299999999981</v>
      </c>
    </row>
    <row r="8" spans="2:10">
      <c r="B8" s="13" t="s">
        <v>1216</v>
      </c>
      <c r="E8">
        <v>1918.24</v>
      </c>
    </row>
    <row r="9" spans="2:10">
      <c r="B9" s="13" t="s">
        <v>1217</v>
      </c>
      <c r="E9">
        <v>3841.6</v>
      </c>
    </row>
    <row r="10" spans="2:10" ht="30">
      <c r="B10" s="13" t="s">
        <v>1226</v>
      </c>
      <c r="E10">
        <f>+Electrical!D11</f>
        <v>135</v>
      </c>
    </row>
    <row r="13" spans="2:10">
      <c r="C13" t="s">
        <v>1211</v>
      </c>
      <c r="D13" t="s">
        <v>1212</v>
      </c>
    </row>
    <row r="14" spans="2:10" ht="30">
      <c r="B14" s="13" t="s">
        <v>1218</v>
      </c>
      <c r="C14" s="100">
        <f>CEILING((C6+J6+E8)*1.36,50)+E10</f>
        <v>24535</v>
      </c>
      <c r="D14" s="100">
        <f>CEILING((E6+E8)*1.36,25)+E10</f>
        <v>27985</v>
      </c>
    </row>
    <row r="15" spans="2:10" ht="30">
      <c r="B15" s="13" t="s">
        <v>1219</v>
      </c>
      <c r="C15" s="100">
        <f>+CEILING((C6+J6+E9)*1.36,25)+E10</f>
        <v>27135</v>
      </c>
      <c r="D15" s="100">
        <f>+CEILING((E6+E9)*1.36,25)+E10</f>
        <v>30585</v>
      </c>
    </row>
    <row r="16" spans="2:10" ht="30">
      <c r="B16" s="13" t="s">
        <v>1220</v>
      </c>
      <c r="C16" s="100">
        <f>+CEILING((C7+J6+E8)*1.36,25)+E10</f>
        <v>29385</v>
      </c>
      <c r="D16" s="100">
        <f>+CEILING((E7+E8)*1.36,25)+E10</f>
        <v>34110</v>
      </c>
    </row>
    <row r="17" spans="2:4" ht="30">
      <c r="B17" s="13" t="s">
        <v>1221</v>
      </c>
      <c r="C17" s="100">
        <f>+CEILING((C7+E9+J6)*1.36,25)+E10</f>
        <v>32010</v>
      </c>
      <c r="D17" s="100">
        <f>+CEILING((E7+E9)*1.36,25)+E10</f>
        <v>36735</v>
      </c>
    </row>
  </sheetData>
  <pageMargins left="0.7" right="0.7" top="0.75" bottom="0.75" header="0.3" footer="0.3"/>
  <pageSetup paperSize="9" orientation="portrait" horizontalDpi="120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F37AC-736E-413D-85C8-AE6B96214056}">
  <sheetPr codeName="Sheet2">
    <pageSetUpPr fitToPage="1"/>
  </sheetPr>
  <dimension ref="A1:O214"/>
  <sheetViews>
    <sheetView zoomScaleNormal="100" workbookViewId="0">
      <selection activeCell="K9" sqref="K9"/>
    </sheetView>
  </sheetViews>
  <sheetFormatPr defaultRowHeight="12.75"/>
  <cols>
    <col min="1" max="1" width="19.85546875" style="63" customWidth="1"/>
    <col min="2" max="2" width="15.7109375" style="63" customWidth="1"/>
    <col min="3" max="4" width="10.7109375" style="64" customWidth="1"/>
    <col min="5" max="5" width="10.7109375" style="65" customWidth="1"/>
    <col min="6" max="6" width="16.85546875" style="66" bestFit="1" customWidth="1"/>
    <col min="7" max="7" width="12.140625" style="66" customWidth="1"/>
    <col min="8" max="12" width="9.140625" style="63"/>
    <col min="13" max="13" width="11.28515625" style="63" customWidth="1"/>
    <col min="14" max="257" width="9.140625" style="63"/>
    <col min="258" max="258" width="22.28515625" style="63" customWidth="1"/>
    <col min="259" max="259" width="19" style="63" customWidth="1"/>
    <col min="260" max="262" width="12.7109375" style="63" customWidth="1"/>
    <col min="263" max="263" width="17.85546875" style="63" customWidth="1"/>
    <col min="264" max="264" width="12.7109375" style="63" customWidth="1"/>
    <col min="265" max="268" width="9.140625" style="63"/>
    <col min="269" max="269" width="11.28515625" style="63" customWidth="1"/>
    <col min="270" max="513" width="9.140625" style="63"/>
    <col min="514" max="514" width="22.28515625" style="63" customWidth="1"/>
    <col min="515" max="515" width="19" style="63" customWidth="1"/>
    <col min="516" max="518" width="12.7109375" style="63" customWidth="1"/>
    <col min="519" max="519" width="17.85546875" style="63" customWidth="1"/>
    <col min="520" max="520" width="12.7109375" style="63" customWidth="1"/>
    <col min="521" max="524" width="9.140625" style="63"/>
    <col min="525" max="525" width="11.28515625" style="63" customWidth="1"/>
    <col min="526" max="769" width="9.140625" style="63"/>
    <col min="770" max="770" width="22.28515625" style="63" customWidth="1"/>
    <col min="771" max="771" width="19" style="63" customWidth="1"/>
    <col min="772" max="774" width="12.7109375" style="63" customWidth="1"/>
    <col min="775" max="775" width="17.85546875" style="63" customWidth="1"/>
    <col min="776" max="776" width="12.7109375" style="63" customWidth="1"/>
    <col min="777" max="780" width="9.140625" style="63"/>
    <col min="781" max="781" width="11.28515625" style="63" customWidth="1"/>
    <col min="782" max="1025" width="9.140625" style="63"/>
    <col min="1026" max="1026" width="22.28515625" style="63" customWidth="1"/>
    <col min="1027" max="1027" width="19" style="63" customWidth="1"/>
    <col min="1028" max="1030" width="12.7109375" style="63" customWidth="1"/>
    <col min="1031" max="1031" width="17.85546875" style="63" customWidth="1"/>
    <col min="1032" max="1032" width="12.7109375" style="63" customWidth="1"/>
    <col min="1033" max="1036" width="9.140625" style="63"/>
    <col min="1037" max="1037" width="11.28515625" style="63" customWidth="1"/>
    <col min="1038" max="1281" width="9.140625" style="63"/>
    <col min="1282" max="1282" width="22.28515625" style="63" customWidth="1"/>
    <col min="1283" max="1283" width="19" style="63" customWidth="1"/>
    <col min="1284" max="1286" width="12.7109375" style="63" customWidth="1"/>
    <col min="1287" max="1287" width="17.85546875" style="63" customWidth="1"/>
    <col min="1288" max="1288" width="12.7109375" style="63" customWidth="1"/>
    <col min="1289" max="1292" width="9.140625" style="63"/>
    <col min="1293" max="1293" width="11.28515625" style="63" customWidth="1"/>
    <col min="1294" max="1537" width="9.140625" style="63"/>
    <col min="1538" max="1538" width="22.28515625" style="63" customWidth="1"/>
    <col min="1539" max="1539" width="19" style="63" customWidth="1"/>
    <col min="1540" max="1542" width="12.7109375" style="63" customWidth="1"/>
    <col min="1543" max="1543" width="17.85546875" style="63" customWidth="1"/>
    <col min="1544" max="1544" width="12.7109375" style="63" customWidth="1"/>
    <col min="1545" max="1548" width="9.140625" style="63"/>
    <col min="1549" max="1549" width="11.28515625" style="63" customWidth="1"/>
    <col min="1550" max="1793" width="9.140625" style="63"/>
    <col min="1794" max="1794" width="22.28515625" style="63" customWidth="1"/>
    <col min="1795" max="1795" width="19" style="63" customWidth="1"/>
    <col min="1796" max="1798" width="12.7109375" style="63" customWidth="1"/>
    <col min="1799" max="1799" width="17.85546875" style="63" customWidth="1"/>
    <col min="1800" max="1800" width="12.7109375" style="63" customWidth="1"/>
    <col min="1801" max="1804" width="9.140625" style="63"/>
    <col min="1805" max="1805" width="11.28515625" style="63" customWidth="1"/>
    <col min="1806" max="2049" width="9.140625" style="63"/>
    <col min="2050" max="2050" width="22.28515625" style="63" customWidth="1"/>
    <col min="2051" max="2051" width="19" style="63" customWidth="1"/>
    <col min="2052" max="2054" width="12.7109375" style="63" customWidth="1"/>
    <col min="2055" max="2055" width="17.85546875" style="63" customWidth="1"/>
    <col min="2056" max="2056" width="12.7109375" style="63" customWidth="1"/>
    <col min="2057" max="2060" width="9.140625" style="63"/>
    <col min="2061" max="2061" width="11.28515625" style="63" customWidth="1"/>
    <col min="2062" max="2305" width="9.140625" style="63"/>
    <col min="2306" max="2306" width="22.28515625" style="63" customWidth="1"/>
    <col min="2307" max="2307" width="19" style="63" customWidth="1"/>
    <col min="2308" max="2310" width="12.7109375" style="63" customWidth="1"/>
    <col min="2311" max="2311" width="17.85546875" style="63" customWidth="1"/>
    <col min="2312" max="2312" width="12.7109375" style="63" customWidth="1"/>
    <col min="2313" max="2316" width="9.140625" style="63"/>
    <col min="2317" max="2317" width="11.28515625" style="63" customWidth="1"/>
    <col min="2318" max="2561" width="9.140625" style="63"/>
    <col min="2562" max="2562" width="22.28515625" style="63" customWidth="1"/>
    <col min="2563" max="2563" width="19" style="63" customWidth="1"/>
    <col min="2564" max="2566" width="12.7109375" style="63" customWidth="1"/>
    <col min="2567" max="2567" width="17.85546875" style="63" customWidth="1"/>
    <col min="2568" max="2568" width="12.7109375" style="63" customWidth="1"/>
    <col min="2569" max="2572" width="9.140625" style="63"/>
    <col min="2573" max="2573" width="11.28515625" style="63" customWidth="1"/>
    <col min="2574" max="2817" width="9.140625" style="63"/>
    <col min="2818" max="2818" width="22.28515625" style="63" customWidth="1"/>
    <col min="2819" max="2819" width="19" style="63" customWidth="1"/>
    <col min="2820" max="2822" width="12.7109375" style="63" customWidth="1"/>
    <col min="2823" max="2823" width="17.85546875" style="63" customWidth="1"/>
    <col min="2824" max="2824" width="12.7109375" style="63" customWidth="1"/>
    <col min="2825" max="2828" width="9.140625" style="63"/>
    <col min="2829" max="2829" width="11.28515625" style="63" customWidth="1"/>
    <col min="2830" max="3073" width="9.140625" style="63"/>
    <col min="3074" max="3074" width="22.28515625" style="63" customWidth="1"/>
    <col min="3075" max="3075" width="19" style="63" customWidth="1"/>
    <col min="3076" max="3078" width="12.7109375" style="63" customWidth="1"/>
    <col min="3079" max="3079" width="17.85546875" style="63" customWidth="1"/>
    <col min="3080" max="3080" width="12.7109375" style="63" customWidth="1"/>
    <col min="3081" max="3084" width="9.140625" style="63"/>
    <col min="3085" max="3085" width="11.28515625" style="63" customWidth="1"/>
    <col min="3086" max="3329" width="9.140625" style="63"/>
    <col min="3330" max="3330" width="22.28515625" style="63" customWidth="1"/>
    <col min="3331" max="3331" width="19" style="63" customWidth="1"/>
    <col min="3332" max="3334" width="12.7109375" style="63" customWidth="1"/>
    <col min="3335" max="3335" width="17.85546875" style="63" customWidth="1"/>
    <col min="3336" max="3336" width="12.7109375" style="63" customWidth="1"/>
    <col min="3337" max="3340" width="9.140625" style="63"/>
    <col min="3341" max="3341" width="11.28515625" style="63" customWidth="1"/>
    <col min="3342" max="3585" width="9.140625" style="63"/>
    <col min="3586" max="3586" width="22.28515625" style="63" customWidth="1"/>
    <col min="3587" max="3587" width="19" style="63" customWidth="1"/>
    <col min="3588" max="3590" width="12.7109375" style="63" customWidth="1"/>
    <col min="3591" max="3591" width="17.85546875" style="63" customWidth="1"/>
    <col min="3592" max="3592" width="12.7109375" style="63" customWidth="1"/>
    <col min="3593" max="3596" width="9.140625" style="63"/>
    <col min="3597" max="3597" width="11.28515625" style="63" customWidth="1"/>
    <col min="3598" max="3841" width="9.140625" style="63"/>
    <col min="3842" max="3842" width="22.28515625" style="63" customWidth="1"/>
    <col min="3843" max="3843" width="19" style="63" customWidth="1"/>
    <col min="3844" max="3846" width="12.7109375" style="63" customWidth="1"/>
    <col min="3847" max="3847" width="17.85546875" style="63" customWidth="1"/>
    <col min="3848" max="3848" width="12.7109375" style="63" customWidth="1"/>
    <col min="3849" max="3852" width="9.140625" style="63"/>
    <col min="3853" max="3853" width="11.28515625" style="63" customWidth="1"/>
    <col min="3854" max="4097" width="9.140625" style="63"/>
    <col min="4098" max="4098" width="22.28515625" style="63" customWidth="1"/>
    <col min="4099" max="4099" width="19" style="63" customWidth="1"/>
    <col min="4100" max="4102" width="12.7109375" style="63" customWidth="1"/>
    <col min="4103" max="4103" width="17.85546875" style="63" customWidth="1"/>
    <col min="4104" max="4104" width="12.7109375" style="63" customWidth="1"/>
    <col min="4105" max="4108" width="9.140625" style="63"/>
    <col min="4109" max="4109" width="11.28515625" style="63" customWidth="1"/>
    <col min="4110" max="4353" width="9.140625" style="63"/>
    <col min="4354" max="4354" width="22.28515625" style="63" customWidth="1"/>
    <col min="4355" max="4355" width="19" style="63" customWidth="1"/>
    <col min="4356" max="4358" width="12.7109375" style="63" customWidth="1"/>
    <col min="4359" max="4359" width="17.85546875" style="63" customWidth="1"/>
    <col min="4360" max="4360" width="12.7109375" style="63" customWidth="1"/>
    <col min="4361" max="4364" width="9.140625" style="63"/>
    <col min="4365" max="4365" width="11.28515625" style="63" customWidth="1"/>
    <col min="4366" max="4609" width="9.140625" style="63"/>
    <col min="4610" max="4610" width="22.28515625" style="63" customWidth="1"/>
    <col min="4611" max="4611" width="19" style="63" customWidth="1"/>
    <col min="4612" max="4614" width="12.7109375" style="63" customWidth="1"/>
    <col min="4615" max="4615" width="17.85546875" style="63" customWidth="1"/>
    <col min="4616" max="4616" width="12.7109375" style="63" customWidth="1"/>
    <col min="4617" max="4620" width="9.140625" style="63"/>
    <col min="4621" max="4621" width="11.28515625" style="63" customWidth="1"/>
    <col min="4622" max="4865" width="9.140625" style="63"/>
    <col min="4866" max="4866" width="22.28515625" style="63" customWidth="1"/>
    <col min="4867" max="4867" width="19" style="63" customWidth="1"/>
    <col min="4868" max="4870" width="12.7109375" style="63" customWidth="1"/>
    <col min="4871" max="4871" width="17.85546875" style="63" customWidth="1"/>
    <col min="4872" max="4872" width="12.7109375" style="63" customWidth="1"/>
    <col min="4873" max="4876" width="9.140625" style="63"/>
    <col min="4877" max="4877" width="11.28515625" style="63" customWidth="1"/>
    <col min="4878" max="5121" width="9.140625" style="63"/>
    <col min="5122" max="5122" width="22.28515625" style="63" customWidth="1"/>
    <col min="5123" max="5123" width="19" style="63" customWidth="1"/>
    <col min="5124" max="5126" width="12.7109375" style="63" customWidth="1"/>
    <col min="5127" max="5127" width="17.85546875" style="63" customWidth="1"/>
    <col min="5128" max="5128" width="12.7109375" style="63" customWidth="1"/>
    <col min="5129" max="5132" width="9.140625" style="63"/>
    <col min="5133" max="5133" width="11.28515625" style="63" customWidth="1"/>
    <col min="5134" max="5377" width="9.140625" style="63"/>
    <col min="5378" max="5378" width="22.28515625" style="63" customWidth="1"/>
    <col min="5379" max="5379" width="19" style="63" customWidth="1"/>
    <col min="5380" max="5382" width="12.7109375" style="63" customWidth="1"/>
    <col min="5383" max="5383" width="17.85546875" style="63" customWidth="1"/>
    <col min="5384" max="5384" width="12.7109375" style="63" customWidth="1"/>
    <col min="5385" max="5388" width="9.140625" style="63"/>
    <col min="5389" max="5389" width="11.28515625" style="63" customWidth="1"/>
    <col min="5390" max="5633" width="9.140625" style="63"/>
    <col min="5634" max="5634" width="22.28515625" style="63" customWidth="1"/>
    <col min="5635" max="5635" width="19" style="63" customWidth="1"/>
    <col min="5636" max="5638" width="12.7109375" style="63" customWidth="1"/>
    <col min="5639" max="5639" width="17.85546875" style="63" customWidth="1"/>
    <col min="5640" max="5640" width="12.7109375" style="63" customWidth="1"/>
    <col min="5641" max="5644" width="9.140625" style="63"/>
    <col min="5645" max="5645" width="11.28515625" style="63" customWidth="1"/>
    <col min="5646" max="5889" width="9.140625" style="63"/>
    <col min="5890" max="5890" width="22.28515625" style="63" customWidth="1"/>
    <col min="5891" max="5891" width="19" style="63" customWidth="1"/>
    <col min="5892" max="5894" width="12.7109375" style="63" customWidth="1"/>
    <col min="5895" max="5895" width="17.85546875" style="63" customWidth="1"/>
    <col min="5896" max="5896" width="12.7109375" style="63" customWidth="1"/>
    <col min="5897" max="5900" width="9.140625" style="63"/>
    <col min="5901" max="5901" width="11.28515625" style="63" customWidth="1"/>
    <col min="5902" max="6145" width="9.140625" style="63"/>
    <col min="6146" max="6146" width="22.28515625" style="63" customWidth="1"/>
    <col min="6147" max="6147" width="19" style="63" customWidth="1"/>
    <col min="6148" max="6150" width="12.7109375" style="63" customWidth="1"/>
    <col min="6151" max="6151" width="17.85546875" style="63" customWidth="1"/>
    <col min="6152" max="6152" width="12.7109375" style="63" customWidth="1"/>
    <col min="6153" max="6156" width="9.140625" style="63"/>
    <col min="6157" max="6157" width="11.28515625" style="63" customWidth="1"/>
    <col min="6158" max="6401" width="9.140625" style="63"/>
    <col min="6402" max="6402" width="22.28515625" style="63" customWidth="1"/>
    <col min="6403" max="6403" width="19" style="63" customWidth="1"/>
    <col min="6404" max="6406" width="12.7109375" style="63" customWidth="1"/>
    <col min="6407" max="6407" width="17.85546875" style="63" customWidth="1"/>
    <col min="6408" max="6408" width="12.7109375" style="63" customWidth="1"/>
    <col min="6409" max="6412" width="9.140625" style="63"/>
    <col min="6413" max="6413" width="11.28515625" style="63" customWidth="1"/>
    <col min="6414" max="6657" width="9.140625" style="63"/>
    <col min="6658" max="6658" width="22.28515625" style="63" customWidth="1"/>
    <col min="6659" max="6659" width="19" style="63" customWidth="1"/>
    <col min="6660" max="6662" width="12.7109375" style="63" customWidth="1"/>
    <col min="6663" max="6663" width="17.85546875" style="63" customWidth="1"/>
    <col min="6664" max="6664" width="12.7109375" style="63" customWidth="1"/>
    <col min="6665" max="6668" width="9.140625" style="63"/>
    <col min="6669" max="6669" width="11.28515625" style="63" customWidth="1"/>
    <col min="6670" max="6913" width="9.140625" style="63"/>
    <col min="6914" max="6914" width="22.28515625" style="63" customWidth="1"/>
    <col min="6915" max="6915" width="19" style="63" customWidth="1"/>
    <col min="6916" max="6918" width="12.7109375" style="63" customWidth="1"/>
    <col min="6919" max="6919" width="17.85546875" style="63" customWidth="1"/>
    <col min="6920" max="6920" width="12.7109375" style="63" customWidth="1"/>
    <col min="6921" max="6924" width="9.140625" style="63"/>
    <col min="6925" max="6925" width="11.28515625" style="63" customWidth="1"/>
    <col min="6926" max="7169" width="9.140625" style="63"/>
    <col min="7170" max="7170" width="22.28515625" style="63" customWidth="1"/>
    <col min="7171" max="7171" width="19" style="63" customWidth="1"/>
    <col min="7172" max="7174" width="12.7109375" style="63" customWidth="1"/>
    <col min="7175" max="7175" width="17.85546875" style="63" customWidth="1"/>
    <col min="7176" max="7176" width="12.7109375" style="63" customWidth="1"/>
    <col min="7177" max="7180" width="9.140625" style="63"/>
    <col min="7181" max="7181" width="11.28515625" style="63" customWidth="1"/>
    <col min="7182" max="7425" width="9.140625" style="63"/>
    <col min="7426" max="7426" width="22.28515625" style="63" customWidth="1"/>
    <col min="7427" max="7427" width="19" style="63" customWidth="1"/>
    <col min="7428" max="7430" width="12.7109375" style="63" customWidth="1"/>
    <col min="7431" max="7431" width="17.85546875" style="63" customWidth="1"/>
    <col min="7432" max="7432" width="12.7109375" style="63" customWidth="1"/>
    <col min="7433" max="7436" width="9.140625" style="63"/>
    <col min="7437" max="7437" width="11.28515625" style="63" customWidth="1"/>
    <col min="7438" max="7681" width="9.140625" style="63"/>
    <col min="7682" max="7682" width="22.28515625" style="63" customWidth="1"/>
    <col min="7683" max="7683" width="19" style="63" customWidth="1"/>
    <col min="7684" max="7686" width="12.7109375" style="63" customWidth="1"/>
    <col min="7687" max="7687" width="17.85546875" style="63" customWidth="1"/>
    <col min="7688" max="7688" width="12.7109375" style="63" customWidth="1"/>
    <col min="7689" max="7692" width="9.140625" style="63"/>
    <col min="7693" max="7693" width="11.28515625" style="63" customWidth="1"/>
    <col min="7694" max="7937" width="9.140625" style="63"/>
    <col min="7938" max="7938" width="22.28515625" style="63" customWidth="1"/>
    <col min="7939" max="7939" width="19" style="63" customWidth="1"/>
    <col min="7940" max="7942" width="12.7109375" style="63" customWidth="1"/>
    <col min="7943" max="7943" width="17.85546875" style="63" customWidth="1"/>
    <col min="7944" max="7944" width="12.7109375" style="63" customWidth="1"/>
    <col min="7945" max="7948" width="9.140625" style="63"/>
    <col min="7949" max="7949" width="11.28515625" style="63" customWidth="1"/>
    <col min="7950" max="8193" width="9.140625" style="63"/>
    <col min="8194" max="8194" width="22.28515625" style="63" customWidth="1"/>
    <col min="8195" max="8195" width="19" style="63" customWidth="1"/>
    <col min="8196" max="8198" width="12.7109375" style="63" customWidth="1"/>
    <col min="8199" max="8199" width="17.85546875" style="63" customWidth="1"/>
    <col min="8200" max="8200" width="12.7109375" style="63" customWidth="1"/>
    <col min="8201" max="8204" width="9.140625" style="63"/>
    <col min="8205" max="8205" width="11.28515625" style="63" customWidth="1"/>
    <col min="8206" max="8449" width="9.140625" style="63"/>
    <col min="8450" max="8450" width="22.28515625" style="63" customWidth="1"/>
    <col min="8451" max="8451" width="19" style="63" customWidth="1"/>
    <col min="8452" max="8454" width="12.7109375" style="63" customWidth="1"/>
    <col min="8455" max="8455" width="17.85546875" style="63" customWidth="1"/>
    <col min="8456" max="8456" width="12.7109375" style="63" customWidth="1"/>
    <col min="8457" max="8460" width="9.140625" style="63"/>
    <col min="8461" max="8461" width="11.28515625" style="63" customWidth="1"/>
    <col min="8462" max="8705" width="9.140625" style="63"/>
    <col min="8706" max="8706" width="22.28515625" style="63" customWidth="1"/>
    <col min="8707" max="8707" width="19" style="63" customWidth="1"/>
    <col min="8708" max="8710" width="12.7109375" style="63" customWidth="1"/>
    <col min="8711" max="8711" width="17.85546875" style="63" customWidth="1"/>
    <col min="8712" max="8712" width="12.7109375" style="63" customWidth="1"/>
    <col min="8713" max="8716" width="9.140625" style="63"/>
    <col min="8717" max="8717" width="11.28515625" style="63" customWidth="1"/>
    <col min="8718" max="8961" width="9.140625" style="63"/>
    <col min="8962" max="8962" width="22.28515625" style="63" customWidth="1"/>
    <col min="8963" max="8963" width="19" style="63" customWidth="1"/>
    <col min="8964" max="8966" width="12.7109375" style="63" customWidth="1"/>
    <col min="8967" max="8967" width="17.85546875" style="63" customWidth="1"/>
    <col min="8968" max="8968" width="12.7109375" style="63" customWidth="1"/>
    <col min="8969" max="8972" width="9.140625" style="63"/>
    <col min="8973" max="8973" width="11.28515625" style="63" customWidth="1"/>
    <col min="8974" max="9217" width="9.140625" style="63"/>
    <col min="9218" max="9218" width="22.28515625" style="63" customWidth="1"/>
    <col min="9219" max="9219" width="19" style="63" customWidth="1"/>
    <col min="9220" max="9222" width="12.7109375" style="63" customWidth="1"/>
    <col min="9223" max="9223" width="17.85546875" style="63" customWidth="1"/>
    <col min="9224" max="9224" width="12.7109375" style="63" customWidth="1"/>
    <col min="9225" max="9228" width="9.140625" style="63"/>
    <col min="9229" max="9229" width="11.28515625" style="63" customWidth="1"/>
    <col min="9230" max="9473" width="9.140625" style="63"/>
    <col min="9474" max="9474" width="22.28515625" style="63" customWidth="1"/>
    <col min="9475" max="9475" width="19" style="63" customWidth="1"/>
    <col min="9476" max="9478" width="12.7109375" style="63" customWidth="1"/>
    <col min="9479" max="9479" width="17.85546875" style="63" customWidth="1"/>
    <col min="9480" max="9480" width="12.7109375" style="63" customWidth="1"/>
    <col min="9481" max="9484" width="9.140625" style="63"/>
    <col min="9485" max="9485" width="11.28515625" style="63" customWidth="1"/>
    <col min="9486" max="9729" width="9.140625" style="63"/>
    <col min="9730" max="9730" width="22.28515625" style="63" customWidth="1"/>
    <col min="9731" max="9731" width="19" style="63" customWidth="1"/>
    <col min="9732" max="9734" width="12.7109375" style="63" customWidth="1"/>
    <col min="9735" max="9735" width="17.85546875" style="63" customWidth="1"/>
    <col min="9736" max="9736" width="12.7109375" style="63" customWidth="1"/>
    <col min="9737" max="9740" width="9.140625" style="63"/>
    <col min="9741" max="9741" width="11.28515625" style="63" customWidth="1"/>
    <col min="9742" max="9985" width="9.140625" style="63"/>
    <col min="9986" max="9986" width="22.28515625" style="63" customWidth="1"/>
    <col min="9987" max="9987" width="19" style="63" customWidth="1"/>
    <col min="9988" max="9990" width="12.7109375" style="63" customWidth="1"/>
    <col min="9991" max="9991" width="17.85546875" style="63" customWidth="1"/>
    <col min="9992" max="9992" width="12.7109375" style="63" customWidth="1"/>
    <col min="9993" max="9996" width="9.140625" style="63"/>
    <col min="9997" max="9997" width="11.28515625" style="63" customWidth="1"/>
    <col min="9998" max="10241" width="9.140625" style="63"/>
    <col min="10242" max="10242" width="22.28515625" style="63" customWidth="1"/>
    <col min="10243" max="10243" width="19" style="63" customWidth="1"/>
    <col min="10244" max="10246" width="12.7109375" style="63" customWidth="1"/>
    <col min="10247" max="10247" width="17.85546875" style="63" customWidth="1"/>
    <col min="10248" max="10248" width="12.7109375" style="63" customWidth="1"/>
    <col min="10249" max="10252" width="9.140625" style="63"/>
    <col min="10253" max="10253" width="11.28515625" style="63" customWidth="1"/>
    <col min="10254" max="10497" width="9.140625" style="63"/>
    <col min="10498" max="10498" width="22.28515625" style="63" customWidth="1"/>
    <col min="10499" max="10499" width="19" style="63" customWidth="1"/>
    <col min="10500" max="10502" width="12.7109375" style="63" customWidth="1"/>
    <col min="10503" max="10503" width="17.85546875" style="63" customWidth="1"/>
    <col min="10504" max="10504" width="12.7109375" style="63" customWidth="1"/>
    <col min="10505" max="10508" width="9.140625" style="63"/>
    <col min="10509" max="10509" width="11.28515625" style="63" customWidth="1"/>
    <col min="10510" max="10753" width="9.140625" style="63"/>
    <col min="10754" max="10754" width="22.28515625" style="63" customWidth="1"/>
    <col min="10755" max="10755" width="19" style="63" customWidth="1"/>
    <col min="10756" max="10758" width="12.7109375" style="63" customWidth="1"/>
    <col min="10759" max="10759" width="17.85546875" style="63" customWidth="1"/>
    <col min="10760" max="10760" width="12.7109375" style="63" customWidth="1"/>
    <col min="10761" max="10764" width="9.140625" style="63"/>
    <col min="10765" max="10765" width="11.28515625" style="63" customWidth="1"/>
    <col min="10766" max="11009" width="9.140625" style="63"/>
    <col min="11010" max="11010" width="22.28515625" style="63" customWidth="1"/>
    <col min="11011" max="11011" width="19" style="63" customWidth="1"/>
    <col min="11012" max="11014" width="12.7109375" style="63" customWidth="1"/>
    <col min="11015" max="11015" width="17.85546875" style="63" customWidth="1"/>
    <col min="11016" max="11016" width="12.7109375" style="63" customWidth="1"/>
    <col min="11017" max="11020" width="9.140625" style="63"/>
    <col min="11021" max="11021" width="11.28515625" style="63" customWidth="1"/>
    <col min="11022" max="11265" width="9.140625" style="63"/>
    <col min="11266" max="11266" width="22.28515625" style="63" customWidth="1"/>
    <col min="11267" max="11267" width="19" style="63" customWidth="1"/>
    <col min="11268" max="11270" width="12.7109375" style="63" customWidth="1"/>
    <col min="11271" max="11271" width="17.85546875" style="63" customWidth="1"/>
    <col min="11272" max="11272" width="12.7109375" style="63" customWidth="1"/>
    <col min="11273" max="11276" width="9.140625" style="63"/>
    <col min="11277" max="11277" width="11.28515625" style="63" customWidth="1"/>
    <col min="11278" max="11521" width="9.140625" style="63"/>
    <col min="11522" max="11522" width="22.28515625" style="63" customWidth="1"/>
    <col min="11523" max="11523" width="19" style="63" customWidth="1"/>
    <col min="11524" max="11526" width="12.7109375" style="63" customWidth="1"/>
    <col min="11527" max="11527" width="17.85546875" style="63" customWidth="1"/>
    <col min="11528" max="11528" width="12.7109375" style="63" customWidth="1"/>
    <col min="11529" max="11532" width="9.140625" style="63"/>
    <col min="11533" max="11533" width="11.28515625" style="63" customWidth="1"/>
    <col min="11534" max="11777" width="9.140625" style="63"/>
    <col min="11778" max="11778" width="22.28515625" style="63" customWidth="1"/>
    <col min="11779" max="11779" width="19" style="63" customWidth="1"/>
    <col min="11780" max="11782" width="12.7109375" style="63" customWidth="1"/>
    <col min="11783" max="11783" width="17.85546875" style="63" customWidth="1"/>
    <col min="11784" max="11784" width="12.7109375" style="63" customWidth="1"/>
    <col min="11785" max="11788" width="9.140625" style="63"/>
    <col min="11789" max="11789" width="11.28515625" style="63" customWidth="1"/>
    <col min="11790" max="12033" width="9.140625" style="63"/>
    <col min="12034" max="12034" width="22.28515625" style="63" customWidth="1"/>
    <col min="12035" max="12035" width="19" style="63" customWidth="1"/>
    <col min="12036" max="12038" width="12.7109375" style="63" customWidth="1"/>
    <col min="12039" max="12039" width="17.85546875" style="63" customWidth="1"/>
    <col min="12040" max="12040" width="12.7109375" style="63" customWidth="1"/>
    <col min="12041" max="12044" width="9.140625" style="63"/>
    <col min="12045" max="12045" width="11.28515625" style="63" customWidth="1"/>
    <col min="12046" max="12289" width="9.140625" style="63"/>
    <col min="12290" max="12290" width="22.28515625" style="63" customWidth="1"/>
    <col min="12291" max="12291" width="19" style="63" customWidth="1"/>
    <col min="12292" max="12294" width="12.7109375" style="63" customWidth="1"/>
    <col min="12295" max="12295" width="17.85546875" style="63" customWidth="1"/>
    <col min="12296" max="12296" width="12.7109375" style="63" customWidth="1"/>
    <col min="12297" max="12300" width="9.140625" style="63"/>
    <col min="12301" max="12301" width="11.28515625" style="63" customWidth="1"/>
    <col min="12302" max="12545" width="9.140625" style="63"/>
    <col min="12546" max="12546" width="22.28515625" style="63" customWidth="1"/>
    <col min="12547" max="12547" width="19" style="63" customWidth="1"/>
    <col min="12548" max="12550" width="12.7109375" style="63" customWidth="1"/>
    <col min="12551" max="12551" width="17.85546875" style="63" customWidth="1"/>
    <col min="12552" max="12552" width="12.7109375" style="63" customWidth="1"/>
    <col min="12553" max="12556" width="9.140625" style="63"/>
    <col min="12557" max="12557" width="11.28515625" style="63" customWidth="1"/>
    <col min="12558" max="12801" width="9.140625" style="63"/>
    <col min="12802" max="12802" width="22.28515625" style="63" customWidth="1"/>
    <col min="12803" max="12803" width="19" style="63" customWidth="1"/>
    <col min="12804" max="12806" width="12.7109375" style="63" customWidth="1"/>
    <col min="12807" max="12807" width="17.85546875" style="63" customWidth="1"/>
    <col min="12808" max="12808" width="12.7109375" style="63" customWidth="1"/>
    <col min="12809" max="12812" width="9.140625" style="63"/>
    <col min="12813" max="12813" width="11.28515625" style="63" customWidth="1"/>
    <col min="12814" max="13057" width="9.140625" style="63"/>
    <col min="13058" max="13058" width="22.28515625" style="63" customWidth="1"/>
    <col min="13059" max="13059" width="19" style="63" customWidth="1"/>
    <col min="13060" max="13062" width="12.7109375" style="63" customWidth="1"/>
    <col min="13063" max="13063" width="17.85546875" style="63" customWidth="1"/>
    <col min="13064" max="13064" width="12.7109375" style="63" customWidth="1"/>
    <col min="13065" max="13068" width="9.140625" style="63"/>
    <col min="13069" max="13069" width="11.28515625" style="63" customWidth="1"/>
    <col min="13070" max="13313" width="9.140625" style="63"/>
    <col min="13314" max="13314" width="22.28515625" style="63" customWidth="1"/>
    <col min="13315" max="13315" width="19" style="63" customWidth="1"/>
    <col min="13316" max="13318" width="12.7109375" style="63" customWidth="1"/>
    <col min="13319" max="13319" width="17.85546875" style="63" customWidth="1"/>
    <col min="13320" max="13320" width="12.7109375" style="63" customWidth="1"/>
    <col min="13321" max="13324" width="9.140625" style="63"/>
    <col min="13325" max="13325" width="11.28515625" style="63" customWidth="1"/>
    <col min="13326" max="13569" width="9.140625" style="63"/>
    <col min="13570" max="13570" width="22.28515625" style="63" customWidth="1"/>
    <col min="13571" max="13571" width="19" style="63" customWidth="1"/>
    <col min="13572" max="13574" width="12.7109375" style="63" customWidth="1"/>
    <col min="13575" max="13575" width="17.85546875" style="63" customWidth="1"/>
    <col min="13576" max="13576" width="12.7109375" style="63" customWidth="1"/>
    <col min="13577" max="13580" width="9.140625" style="63"/>
    <col min="13581" max="13581" width="11.28515625" style="63" customWidth="1"/>
    <col min="13582" max="13825" width="9.140625" style="63"/>
    <col min="13826" max="13826" width="22.28515625" style="63" customWidth="1"/>
    <col min="13827" max="13827" width="19" style="63" customWidth="1"/>
    <col min="13828" max="13830" width="12.7109375" style="63" customWidth="1"/>
    <col min="13831" max="13831" width="17.85546875" style="63" customWidth="1"/>
    <col min="13832" max="13832" width="12.7109375" style="63" customWidth="1"/>
    <col min="13833" max="13836" width="9.140625" style="63"/>
    <col min="13837" max="13837" width="11.28515625" style="63" customWidth="1"/>
    <col min="13838" max="14081" width="9.140625" style="63"/>
    <col min="14082" max="14082" width="22.28515625" style="63" customWidth="1"/>
    <col min="14083" max="14083" width="19" style="63" customWidth="1"/>
    <col min="14084" max="14086" width="12.7109375" style="63" customWidth="1"/>
    <col min="14087" max="14087" width="17.85546875" style="63" customWidth="1"/>
    <col min="14088" max="14088" width="12.7109375" style="63" customWidth="1"/>
    <col min="14089" max="14092" width="9.140625" style="63"/>
    <col min="14093" max="14093" width="11.28515625" style="63" customWidth="1"/>
    <col min="14094" max="14337" width="9.140625" style="63"/>
    <col min="14338" max="14338" width="22.28515625" style="63" customWidth="1"/>
    <col min="14339" max="14339" width="19" style="63" customWidth="1"/>
    <col min="14340" max="14342" width="12.7109375" style="63" customWidth="1"/>
    <col min="14343" max="14343" width="17.85546875" style="63" customWidth="1"/>
    <col min="14344" max="14344" width="12.7109375" style="63" customWidth="1"/>
    <col min="14345" max="14348" width="9.140625" style="63"/>
    <col min="14349" max="14349" width="11.28515625" style="63" customWidth="1"/>
    <col min="14350" max="14593" width="9.140625" style="63"/>
    <col min="14594" max="14594" width="22.28515625" style="63" customWidth="1"/>
    <col min="14595" max="14595" width="19" style="63" customWidth="1"/>
    <col min="14596" max="14598" width="12.7109375" style="63" customWidth="1"/>
    <col min="14599" max="14599" width="17.85546875" style="63" customWidth="1"/>
    <col min="14600" max="14600" width="12.7109375" style="63" customWidth="1"/>
    <col min="14601" max="14604" width="9.140625" style="63"/>
    <col min="14605" max="14605" width="11.28515625" style="63" customWidth="1"/>
    <col min="14606" max="14849" width="9.140625" style="63"/>
    <col min="14850" max="14850" width="22.28515625" style="63" customWidth="1"/>
    <col min="14851" max="14851" width="19" style="63" customWidth="1"/>
    <col min="14852" max="14854" width="12.7109375" style="63" customWidth="1"/>
    <col min="14855" max="14855" width="17.85546875" style="63" customWidth="1"/>
    <col min="14856" max="14856" width="12.7109375" style="63" customWidth="1"/>
    <col min="14857" max="14860" width="9.140625" style="63"/>
    <col min="14861" max="14861" width="11.28515625" style="63" customWidth="1"/>
    <col min="14862" max="15105" width="9.140625" style="63"/>
    <col min="15106" max="15106" width="22.28515625" style="63" customWidth="1"/>
    <col min="15107" max="15107" width="19" style="63" customWidth="1"/>
    <col min="15108" max="15110" width="12.7109375" style="63" customWidth="1"/>
    <col min="15111" max="15111" width="17.85546875" style="63" customWidth="1"/>
    <col min="15112" max="15112" width="12.7109375" style="63" customWidth="1"/>
    <col min="15113" max="15116" width="9.140625" style="63"/>
    <col min="15117" max="15117" width="11.28515625" style="63" customWidth="1"/>
    <col min="15118" max="15361" width="9.140625" style="63"/>
    <col min="15362" max="15362" width="22.28515625" style="63" customWidth="1"/>
    <col min="15363" max="15363" width="19" style="63" customWidth="1"/>
    <col min="15364" max="15366" width="12.7109375" style="63" customWidth="1"/>
    <col min="15367" max="15367" width="17.85546875" style="63" customWidth="1"/>
    <col min="15368" max="15368" width="12.7109375" style="63" customWidth="1"/>
    <col min="15369" max="15372" width="9.140625" style="63"/>
    <col min="15373" max="15373" width="11.28515625" style="63" customWidth="1"/>
    <col min="15374" max="15617" width="9.140625" style="63"/>
    <col min="15618" max="15618" width="22.28515625" style="63" customWidth="1"/>
    <col min="15619" max="15619" width="19" style="63" customWidth="1"/>
    <col min="15620" max="15622" width="12.7109375" style="63" customWidth="1"/>
    <col min="15623" max="15623" width="17.85546875" style="63" customWidth="1"/>
    <col min="15624" max="15624" width="12.7109375" style="63" customWidth="1"/>
    <col min="15625" max="15628" width="9.140625" style="63"/>
    <col min="15629" max="15629" width="11.28515625" style="63" customWidth="1"/>
    <col min="15630" max="15873" width="9.140625" style="63"/>
    <col min="15874" max="15874" width="22.28515625" style="63" customWidth="1"/>
    <col min="15875" max="15875" width="19" style="63" customWidth="1"/>
    <col min="15876" max="15878" width="12.7109375" style="63" customWidth="1"/>
    <col min="15879" max="15879" width="17.85546875" style="63" customWidth="1"/>
    <col min="15880" max="15880" width="12.7109375" style="63" customWidth="1"/>
    <col min="15881" max="15884" width="9.140625" style="63"/>
    <col min="15885" max="15885" width="11.28515625" style="63" customWidth="1"/>
    <col min="15886" max="16129" width="9.140625" style="63"/>
    <col min="16130" max="16130" width="22.28515625" style="63" customWidth="1"/>
    <col min="16131" max="16131" width="19" style="63" customWidth="1"/>
    <col min="16132" max="16134" width="12.7109375" style="63" customWidth="1"/>
    <col min="16135" max="16135" width="17.85546875" style="63" customWidth="1"/>
    <col min="16136" max="16136" width="12.7109375" style="63" customWidth="1"/>
    <col min="16137" max="16140" width="9.140625" style="63"/>
    <col min="16141" max="16141" width="11.28515625" style="63" customWidth="1"/>
    <col min="16142" max="16384" width="9.140625" style="63"/>
  </cols>
  <sheetData>
    <row r="1" spans="1:15" s="21" customFormat="1" ht="12.75" customHeight="1">
      <c r="A1" s="722" t="s">
        <v>174</v>
      </c>
      <c r="B1" s="722"/>
      <c r="C1" s="722"/>
      <c r="D1" s="722"/>
      <c r="E1" s="722"/>
      <c r="F1" s="722"/>
      <c r="G1" s="722"/>
      <c r="H1" s="20"/>
    </row>
    <row r="2" spans="1:15" s="21" customFormat="1" ht="21" customHeight="1" thickBot="1">
      <c r="A2" s="23" t="s">
        <v>1629</v>
      </c>
      <c r="F2" s="24"/>
      <c r="G2" s="25"/>
      <c r="H2" s="20"/>
    </row>
    <row r="3" spans="1:15" s="21" customFormat="1" ht="91.5" customHeight="1" thickBot="1">
      <c r="A3" s="26" t="s">
        <v>175</v>
      </c>
      <c r="B3" s="27" t="s">
        <v>176</v>
      </c>
      <c r="C3" s="28" t="s">
        <v>177</v>
      </c>
      <c r="D3" s="28" t="s">
        <v>178</v>
      </c>
      <c r="E3" s="28" t="s">
        <v>179</v>
      </c>
      <c r="F3" s="29" t="s">
        <v>180</v>
      </c>
      <c r="G3" s="28" t="s">
        <v>181</v>
      </c>
      <c r="H3" s="30"/>
      <c r="I3" s="31" t="s">
        <v>13</v>
      </c>
      <c r="J3" s="32" t="s">
        <v>182</v>
      </c>
      <c r="K3" s="32" t="s">
        <v>1626</v>
      </c>
      <c r="L3" s="33" t="s">
        <v>183</v>
      </c>
      <c r="M3" s="33" t="s">
        <v>184</v>
      </c>
      <c r="N3" s="33" t="s">
        <v>185</v>
      </c>
      <c r="O3" s="33" t="s">
        <v>186</v>
      </c>
    </row>
    <row r="4" spans="1:15" s="21" customFormat="1" ht="15.95" customHeight="1">
      <c r="A4" s="34" t="s">
        <v>15</v>
      </c>
      <c r="B4" s="35">
        <f>+CEILING(I4+J4+K4,10)</f>
        <v>282210</v>
      </c>
      <c r="C4" s="36">
        <f>+L4</f>
        <v>7000</v>
      </c>
      <c r="D4" s="37">
        <f>+CEILING(Lifestyle!BH14*Shepparton!M4,5)</f>
        <v>5010</v>
      </c>
      <c r="E4" s="37">
        <f>+CEILING(Lifestyle!BK14*Shepparton!N4,5)</f>
        <v>2785</v>
      </c>
      <c r="F4" s="38">
        <f>SUM(B4:E4)</f>
        <v>297005</v>
      </c>
      <c r="G4" s="37">
        <f>+CEILING(Lifestyle!BL14*Shepparton!O4,5)</f>
        <v>4420</v>
      </c>
      <c r="H4" s="20"/>
      <c r="I4" s="39">
        <f>+Lifestyle!BB14</f>
        <v>279204</v>
      </c>
      <c r="J4" s="21">
        <f>+Lifestyle!BB7</f>
        <v>0</v>
      </c>
      <c r="K4" s="21">
        <f>+Lifestyle!BD14</f>
        <v>3000</v>
      </c>
      <c r="L4" s="21">
        <f>+Lifestyle!BB3</f>
        <v>7000</v>
      </c>
      <c r="M4" s="41">
        <f>+Lifestyle!BB4</f>
        <v>103</v>
      </c>
      <c r="N4" s="21">
        <f>+Lifestyle!BB5</f>
        <v>60</v>
      </c>
      <c r="O4" s="21">
        <f>+Lifestyle!BB6</f>
        <v>85</v>
      </c>
    </row>
    <row r="5" spans="1:15" s="21" customFormat="1" ht="15.95" customHeight="1">
      <c r="A5" s="42" t="s">
        <v>16</v>
      </c>
      <c r="B5" s="35">
        <f>+CEILING(I5+J5+K5,10)</f>
        <v>296640</v>
      </c>
      <c r="C5" s="43">
        <f t="shared" ref="C5:C40" si="0">+L5</f>
        <v>7000</v>
      </c>
      <c r="D5" s="37">
        <f>+CEILING(Lifestyle!BH15*Shepparton!M5,5)</f>
        <v>5140</v>
      </c>
      <c r="E5" s="37">
        <f>+CEILING(Lifestyle!BK15*Shepparton!N5,5)</f>
        <v>4100</v>
      </c>
      <c r="F5" s="38">
        <f t="shared" ref="F5:F40" si="1">SUM(B5:E5)</f>
        <v>312880</v>
      </c>
      <c r="G5" s="37">
        <f>+CEILING(Lifestyle!BL15*Shepparton!O5,5)</f>
        <v>4845</v>
      </c>
      <c r="H5" s="20"/>
      <c r="I5" s="39">
        <f>+Lifestyle!BB15</f>
        <v>293633</v>
      </c>
      <c r="J5" s="21">
        <f t="shared" ref="J5:O34" si="2">+J4</f>
        <v>0</v>
      </c>
      <c r="K5" s="21">
        <f>+Lifestyle!BD15</f>
        <v>3000</v>
      </c>
      <c r="L5" s="21">
        <f t="shared" ref="L5:O20" si="3">+L4</f>
        <v>7000</v>
      </c>
      <c r="M5" s="21">
        <f t="shared" si="3"/>
        <v>103</v>
      </c>
      <c r="N5" s="21">
        <f t="shared" si="3"/>
        <v>60</v>
      </c>
      <c r="O5" s="21">
        <f t="shared" si="3"/>
        <v>85</v>
      </c>
    </row>
    <row r="6" spans="1:15" s="21" customFormat="1" ht="15.95" customHeight="1">
      <c r="A6" s="42" t="s">
        <v>17</v>
      </c>
      <c r="B6" s="35">
        <f t="shared" ref="B6:B40" si="4">+CEILING(I6+J6+K6,10)</f>
        <v>310720</v>
      </c>
      <c r="C6" s="43">
        <f t="shared" si="0"/>
        <v>7000</v>
      </c>
      <c r="D6" s="37">
        <f>+CEILING(Lifestyle!BH16*Shepparton!M6,5)</f>
        <v>5935</v>
      </c>
      <c r="E6" s="37">
        <f>+CEILING(Lifestyle!BK16*Shepparton!N6,5)</f>
        <v>4085</v>
      </c>
      <c r="F6" s="38">
        <f t="shared" si="1"/>
        <v>327740</v>
      </c>
      <c r="G6" s="37">
        <f>+CEILING(Lifestyle!BL16*Shepparton!O6,5)</f>
        <v>5100</v>
      </c>
      <c r="H6" s="20"/>
      <c r="I6" s="39">
        <f>+Lifestyle!BB16</f>
        <v>307717</v>
      </c>
      <c r="J6" s="21">
        <f t="shared" si="2"/>
        <v>0</v>
      </c>
      <c r="K6" s="21">
        <f>+Lifestyle!BD16</f>
        <v>3000</v>
      </c>
      <c r="L6" s="21">
        <f t="shared" si="3"/>
        <v>7000</v>
      </c>
      <c r="M6" s="21">
        <f t="shared" si="3"/>
        <v>103</v>
      </c>
      <c r="N6" s="21">
        <f t="shared" si="3"/>
        <v>60</v>
      </c>
      <c r="O6" s="21">
        <f t="shared" si="3"/>
        <v>85</v>
      </c>
    </row>
    <row r="7" spans="1:15" s="21" customFormat="1" ht="15.95" customHeight="1">
      <c r="A7" s="42" t="s">
        <v>18</v>
      </c>
      <c r="B7" s="35">
        <f t="shared" si="4"/>
        <v>312390</v>
      </c>
      <c r="C7" s="43">
        <f t="shared" si="0"/>
        <v>7000</v>
      </c>
      <c r="D7" s="37">
        <f>+CEILING(Lifestyle!BH17*Shepparton!M7,5)</f>
        <v>5885</v>
      </c>
      <c r="E7" s="37">
        <f>+CEILING(Lifestyle!BK17*Shepparton!N7,5)</f>
        <v>3985</v>
      </c>
      <c r="F7" s="38">
        <f t="shared" si="1"/>
        <v>329260</v>
      </c>
      <c r="G7" s="37">
        <f>+CEILING(Lifestyle!BL17*Shepparton!O7,5)</f>
        <v>5100</v>
      </c>
      <c r="H7" s="20"/>
      <c r="I7" s="39">
        <f>+Lifestyle!BB17</f>
        <v>309383</v>
      </c>
      <c r="J7" s="21">
        <f t="shared" si="2"/>
        <v>0</v>
      </c>
      <c r="K7" s="21">
        <f>+Lifestyle!BD17</f>
        <v>3000</v>
      </c>
      <c r="L7" s="21">
        <f t="shared" si="3"/>
        <v>7000</v>
      </c>
      <c r="M7" s="21">
        <f t="shared" si="3"/>
        <v>103</v>
      </c>
      <c r="N7" s="21">
        <f t="shared" si="3"/>
        <v>60</v>
      </c>
      <c r="O7" s="21">
        <f t="shared" si="3"/>
        <v>85</v>
      </c>
    </row>
    <row r="8" spans="1:15" s="21" customFormat="1" ht="15.95" customHeight="1">
      <c r="A8" s="42" t="s">
        <v>19</v>
      </c>
      <c r="B8" s="35">
        <f t="shared" si="4"/>
        <v>319970</v>
      </c>
      <c r="C8" s="43">
        <f t="shared" si="0"/>
        <v>7000</v>
      </c>
      <c r="D8" s="37">
        <f>+CEILING(Lifestyle!BH18*Shepparton!M8,5)</f>
        <v>6420</v>
      </c>
      <c r="E8" s="37">
        <f>+CEILING(Lifestyle!BK18*Shepparton!N8,5)</f>
        <v>4990</v>
      </c>
      <c r="F8" s="38">
        <f t="shared" si="1"/>
        <v>338380</v>
      </c>
      <c r="G8" s="37">
        <f>+CEILING(Lifestyle!BL18*Shepparton!O8,5)</f>
        <v>5270</v>
      </c>
      <c r="H8" s="20"/>
      <c r="I8" s="39">
        <f>+Lifestyle!BB18</f>
        <v>316962</v>
      </c>
      <c r="J8" s="21">
        <f t="shared" si="2"/>
        <v>0</v>
      </c>
      <c r="K8" s="21">
        <f>+Lifestyle!BD18</f>
        <v>3000</v>
      </c>
      <c r="L8" s="21">
        <f t="shared" si="3"/>
        <v>7000</v>
      </c>
      <c r="M8" s="21">
        <f t="shared" si="3"/>
        <v>103</v>
      </c>
      <c r="N8" s="21">
        <f t="shared" si="3"/>
        <v>60</v>
      </c>
      <c r="O8" s="21">
        <f t="shared" si="3"/>
        <v>85</v>
      </c>
    </row>
    <row r="9" spans="1:15" s="21" customFormat="1" ht="15.95" customHeight="1">
      <c r="A9" s="42" t="s">
        <v>20</v>
      </c>
      <c r="B9" s="35">
        <f t="shared" si="4"/>
        <v>322220</v>
      </c>
      <c r="C9" s="43">
        <f t="shared" si="0"/>
        <v>7000</v>
      </c>
      <c r="D9" s="37">
        <f>+CEILING(Lifestyle!BH19*Shepparton!M9,5)</f>
        <v>8670</v>
      </c>
      <c r="E9" s="37">
        <f>+CEILING(Lifestyle!BK19*Shepparton!N9,5)</f>
        <v>3475</v>
      </c>
      <c r="F9" s="38">
        <f t="shared" si="1"/>
        <v>341365</v>
      </c>
      <c r="G9" s="37">
        <f>+CEILING(Lifestyle!BL19*Shepparton!O9,5)</f>
        <v>4930</v>
      </c>
      <c r="H9" s="20"/>
      <c r="I9" s="39">
        <f>+Lifestyle!BB19</f>
        <v>319218</v>
      </c>
      <c r="J9" s="21">
        <f t="shared" si="2"/>
        <v>0</v>
      </c>
      <c r="K9" s="21">
        <f>+Lifestyle!BD19</f>
        <v>3000</v>
      </c>
      <c r="L9" s="21">
        <f t="shared" si="3"/>
        <v>7000</v>
      </c>
      <c r="M9" s="21">
        <f t="shared" si="3"/>
        <v>103</v>
      </c>
      <c r="N9" s="21">
        <f t="shared" si="3"/>
        <v>60</v>
      </c>
      <c r="O9" s="21">
        <f t="shared" si="3"/>
        <v>85</v>
      </c>
    </row>
    <row r="10" spans="1:15" s="21" customFormat="1" ht="15.95" customHeight="1">
      <c r="A10" s="42" t="s">
        <v>21</v>
      </c>
      <c r="B10" s="35">
        <f t="shared" si="4"/>
        <v>359580</v>
      </c>
      <c r="C10" s="43">
        <f t="shared" si="0"/>
        <v>7000</v>
      </c>
      <c r="D10" s="37">
        <f>+CEILING(Lifestyle!BH20*Shepparton!M10,5)</f>
        <v>7940</v>
      </c>
      <c r="E10" s="37">
        <f>+CEILING(Lifestyle!BK20*Shepparton!N10,5)</f>
        <v>5610</v>
      </c>
      <c r="F10" s="38">
        <f t="shared" si="1"/>
        <v>380130</v>
      </c>
      <c r="G10" s="37">
        <f>+CEILING(Lifestyle!BL20*Shepparton!O10,5)</f>
        <v>5100</v>
      </c>
      <c r="H10" s="20"/>
      <c r="I10" s="39">
        <f>+Lifestyle!BB20</f>
        <v>355577</v>
      </c>
      <c r="J10" s="21">
        <f t="shared" si="2"/>
        <v>0</v>
      </c>
      <c r="K10" s="21">
        <f>+Lifestyle!BD20</f>
        <v>4000</v>
      </c>
      <c r="L10" s="21">
        <f t="shared" si="3"/>
        <v>7000</v>
      </c>
      <c r="M10" s="21">
        <f t="shared" si="3"/>
        <v>103</v>
      </c>
      <c r="N10" s="21">
        <f t="shared" si="3"/>
        <v>60</v>
      </c>
      <c r="O10" s="21">
        <f t="shared" si="3"/>
        <v>85</v>
      </c>
    </row>
    <row r="11" spans="1:15" s="21" customFormat="1" ht="15.95" customHeight="1">
      <c r="A11" s="42" t="s">
        <v>22</v>
      </c>
      <c r="B11" s="35">
        <f t="shared" si="4"/>
        <v>386150</v>
      </c>
      <c r="C11" s="43">
        <f t="shared" si="0"/>
        <v>7000</v>
      </c>
      <c r="D11" s="37">
        <f>+CEILING(Lifestyle!BH21*Shepparton!M11,5)</f>
        <v>8440</v>
      </c>
      <c r="E11" s="37">
        <f>+CEILING(Lifestyle!BK21*Shepparton!N11,5)</f>
        <v>6700</v>
      </c>
      <c r="F11" s="38">
        <f t="shared" si="1"/>
        <v>408290</v>
      </c>
      <c r="G11" s="37">
        <f>+CEILING(Lifestyle!BL21*Shepparton!O11,5)</f>
        <v>6290</v>
      </c>
      <c r="H11" s="20"/>
      <c r="I11" s="39">
        <f>+Lifestyle!BB21</f>
        <v>382148</v>
      </c>
      <c r="J11" s="21">
        <f t="shared" si="2"/>
        <v>0</v>
      </c>
      <c r="K11" s="21">
        <f>+Lifestyle!BD21</f>
        <v>4000</v>
      </c>
      <c r="L11" s="21">
        <f t="shared" si="3"/>
        <v>7000</v>
      </c>
      <c r="M11" s="21">
        <f t="shared" si="3"/>
        <v>103</v>
      </c>
      <c r="N11" s="21">
        <f t="shared" si="3"/>
        <v>60</v>
      </c>
      <c r="O11" s="21">
        <f t="shared" si="3"/>
        <v>85</v>
      </c>
    </row>
    <row r="12" spans="1:15" s="21" customFormat="1" ht="15.95" customHeight="1">
      <c r="A12" s="42" t="s">
        <v>23</v>
      </c>
      <c r="B12" s="35">
        <f t="shared" si="4"/>
        <v>280620</v>
      </c>
      <c r="C12" s="43">
        <f t="shared" si="0"/>
        <v>7000</v>
      </c>
      <c r="D12" s="37">
        <f>+CEILING(Lifestyle!BH22*Shepparton!M12,5)</f>
        <v>5805</v>
      </c>
      <c r="E12" s="37">
        <f>+CEILING(Lifestyle!BK22*Shepparton!N12,5)</f>
        <v>2805</v>
      </c>
      <c r="F12" s="38">
        <f t="shared" si="1"/>
        <v>296230</v>
      </c>
      <c r="G12" s="37">
        <f>+CEILING(Lifestyle!BL22*Shepparton!O12,5)</f>
        <v>4335</v>
      </c>
      <c r="H12" s="20"/>
      <c r="I12" s="39">
        <f>+Lifestyle!BB22</f>
        <v>277619</v>
      </c>
      <c r="J12" s="21">
        <f t="shared" si="2"/>
        <v>0</v>
      </c>
      <c r="K12" s="21">
        <f>+Lifestyle!BD22</f>
        <v>3000</v>
      </c>
      <c r="L12" s="21">
        <f t="shared" si="3"/>
        <v>7000</v>
      </c>
      <c r="M12" s="21">
        <f t="shared" si="3"/>
        <v>103</v>
      </c>
      <c r="N12" s="21">
        <f t="shared" si="3"/>
        <v>60</v>
      </c>
      <c r="O12" s="21">
        <f t="shared" si="3"/>
        <v>85</v>
      </c>
    </row>
    <row r="13" spans="1:15" s="21" customFormat="1" ht="15.95" customHeight="1">
      <c r="A13" s="42" t="s">
        <v>1463</v>
      </c>
      <c r="B13" s="35">
        <f t="shared" si="4"/>
        <v>300060</v>
      </c>
      <c r="C13" s="43">
        <f t="shared" ref="C13" si="5">+L13</f>
        <v>7000</v>
      </c>
      <c r="D13" s="37">
        <f>+CEILING(Lifestyle!BH23*Shepparton!M13,5)</f>
        <v>6975</v>
      </c>
      <c r="E13" s="37">
        <f>+CEILING(Lifestyle!BK23*Shepparton!N13,5)</f>
        <v>3735</v>
      </c>
      <c r="F13" s="38">
        <f t="shared" ref="F13" si="6">SUM(B13:E13)</f>
        <v>317770</v>
      </c>
      <c r="G13" s="37">
        <f>+CEILING(Lifestyle!BL23*Shepparton!O13,5)</f>
        <v>5015</v>
      </c>
      <c r="H13" s="20"/>
      <c r="I13" s="39">
        <f>+Lifestyle!BB23</f>
        <v>297059</v>
      </c>
      <c r="J13" s="21">
        <f t="shared" ref="J13:O13" si="7">+J12</f>
        <v>0</v>
      </c>
      <c r="K13" s="21">
        <f>+Lifestyle!BD23</f>
        <v>3000</v>
      </c>
      <c r="L13" s="21">
        <f t="shared" si="7"/>
        <v>7000</v>
      </c>
      <c r="M13" s="21">
        <f t="shared" si="7"/>
        <v>103</v>
      </c>
      <c r="N13" s="21">
        <f t="shared" si="7"/>
        <v>60</v>
      </c>
      <c r="O13" s="21">
        <f t="shared" si="7"/>
        <v>85</v>
      </c>
    </row>
    <row r="14" spans="1:15" s="21" customFormat="1" ht="15.95" customHeight="1">
      <c r="A14" s="42" t="s">
        <v>24</v>
      </c>
      <c r="B14" s="35">
        <f t="shared" si="4"/>
        <v>297580</v>
      </c>
      <c r="C14" s="43">
        <f t="shared" si="0"/>
        <v>7000</v>
      </c>
      <c r="D14" s="37">
        <f>+CEILING(Lifestyle!BH24*Shepparton!M14,5)</f>
        <v>6855</v>
      </c>
      <c r="E14" s="37">
        <f>+CEILING(Lifestyle!BK24*Shepparton!N14,5)</f>
        <v>3875</v>
      </c>
      <c r="F14" s="38">
        <f t="shared" si="1"/>
        <v>315310</v>
      </c>
      <c r="G14" s="37">
        <f>+CEILING(Lifestyle!BL24*Shepparton!O14,5)</f>
        <v>4760</v>
      </c>
      <c r="H14" s="20"/>
      <c r="I14" s="39">
        <f>+Lifestyle!BB24</f>
        <v>294577</v>
      </c>
      <c r="J14" s="21">
        <f t="shared" ref="J14:O15" si="8">+J13</f>
        <v>0</v>
      </c>
      <c r="K14" s="21">
        <f>+Lifestyle!BD24</f>
        <v>3000</v>
      </c>
      <c r="L14" s="21">
        <f t="shared" si="8"/>
        <v>7000</v>
      </c>
      <c r="M14" s="21">
        <f t="shared" si="8"/>
        <v>103</v>
      </c>
      <c r="N14" s="21">
        <f t="shared" si="8"/>
        <v>60</v>
      </c>
      <c r="O14" s="21">
        <f t="shared" si="8"/>
        <v>85</v>
      </c>
    </row>
    <row r="15" spans="1:15" s="21" customFormat="1" ht="15.95" customHeight="1">
      <c r="A15" s="42" t="s">
        <v>1625</v>
      </c>
      <c r="B15" s="35">
        <f t="shared" si="4"/>
        <v>303720</v>
      </c>
      <c r="C15" s="43">
        <f t="shared" ref="C15" si="9">+L15</f>
        <v>7000</v>
      </c>
      <c r="D15" s="37">
        <f>+CEILING(Lifestyle!BH25*Shepparton!M15,5)</f>
        <v>7470</v>
      </c>
      <c r="E15" s="37">
        <f>+CEILING(Lifestyle!BK25*Shepparton!N15,5)</f>
        <v>3615</v>
      </c>
      <c r="F15" s="38">
        <f t="shared" ref="F15" si="10">SUM(B15:E15)</f>
        <v>321805</v>
      </c>
      <c r="G15" s="37">
        <f>+CEILING(Lifestyle!BL25*Shepparton!O15,5)</f>
        <v>4760</v>
      </c>
      <c r="H15" s="20"/>
      <c r="I15" s="39">
        <f>+Lifestyle!BB25</f>
        <v>300718</v>
      </c>
      <c r="J15" s="21">
        <f t="shared" si="8"/>
        <v>0</v>
      </c>
      <c r="K15" s="21">
        <f>+Lifestyle!BD25</f>
        <v>3000</v>
      </c>
      <c r="L15" s="21">
        <f t="shared" si="8"/>
        <v>7000</v>
      </c>
      <c r="M15" s="21">
        <f t="shared" si="8"/>
        <v>103</v>
      </c>
      <c r="N15" s="21">
        <f t="shared" si="8"/>
        <v>60</v>
      </c>
      <c r="O15" s="21">
        <f t="shared" si="8"/>
        <v>85</v>
      </c>
    </row>
    <row r="16" spans="1:15" s="21" customFormat="1" ht="15.95" customHeight="1">
      <c r="A16" s="42" t="s">
        <v>25</v>
      </c>
      <c r="B16" s="35">
        <f t="shared" si="4"/>
        <v>315050</v>
      </c>
      <c r="C16" s="43">
        <f t="shared" si="0"/>
        <v>7000</v>
      </c>
      <c r="D16" s="37">
        <f>+CEILING(Lifestyle!BH26*Shepparton!M16,5)</f>
        <v>6505</v>
      </c>
      <c r="E16" s="37">
        <f>+CEILING(Lifestyle!BK26*Shepparton!N16,5)</f>
        <v>4665</v>
      </c>
      <c r="F16" s="38">
        <f t="shared" si="1"/>
        <v>333220</v>
      </c>
      <c r="G16" s="37">
        <f>+CEILING(Lifestyle!BL26*Shepparton!O16,5)</f>
        <v>5015</v>
      </c>
      <c r="H16" s="20"/>
      <c r="I16" s="39">
        <f>+Lifestyle!BB26</f>
        <v>312046</v>
      </c>
      <c r="J16" s="21">
        <f>+J14</f>
        <v>0</v>
      </c>
      <c r="K16" s="21">
        <f>+Lifestyle!BD26</f>
        <v>3000</v>
      </c>
      <c r="L16" s="21">
        <f>+L14</f>
        <v>7000</v>
      </c>
      <c r="M16" s="21">
        <f>+M14</f>
        <v>103</v>
      </c>
      <c r="N16" s="21">
        <f>+N14</f>
        <v>60</v>
      </c>
      <c r="O16" s="21">
        <f>+O14</f>
        <v>85</v>
      </c>
    </row>
    <row r="17" spans="1:15" s="21" customFormat="1" ht="15.95" customHeight="1">
      <c r="A17" s="42" t="s">
        <v>26</v>
      </c>
      <c r="B17" s="35">
        <f t="shared" si="4"/>
        <v>324090</v>
      </c>
      <c r="C17" s="43">
        <f t="shared" si="0"/>
        <v>7000</v>
      </c>
      <c r="D17" s="37">
        <f>+CEILING(Lifestyle!BH27*Shepparton!M17,5)</f>
        <v>6950</v>
      </c>
      <c r="E17" s="37">
        <f>+CEILING(Lifestyle!BK27*Shepparton!N17,5)</f>
        <v>4610</v>
      </c>
      <c r="F17" s="38">
        <f t="shared" si="1"/>
        <v>342650</v>
      </c>
      <c r="G17" s="37">
        <f>+CEILING(Lifestyle!BL27*Shepparton!O17,5)</f>
        <v>5440</v>
      </c>
      <c r="H17" s="20"/>
      <c r="I17" s="39">
        <f>+Lifestyle!BB27</f>
        <v>320081</v>
      </c>
      <c r="J17" s="21">
        <f t="shared" si="2"/>
        <v>0</v>
      </c>
      <c r="K17" s="21">
        <f>+Lifestyle!BD27</f>
        <v>4000</v>
      </c>
      <c r="L17" s="21">
        <f t="shared" si="3"/>
        <v>7000</v>
      </c>
      <c r="M17" s="21">
        <f t="shared" si="3"/>
        <v>103</v>
      </c>
      <c r="N17" s="21">
        <f t="shared" si="3"/>
        <v>60</v>
      </c>
      <c r="O17" s="21">
        <f t="shared" si="3"/>
        <v>85</v>
      </c>
    </row>
    <row r="18" spans="1:15" s="21" customFormat="1" ht="15.95" customHeight="1">
      <c r="A18" s="42" t="s">
        <v>27</v>
      </c>
      <c r="B18" s="35">
        <f t="shared" si="4"/>
        <v>334230</v>
      </c>
      <c r="C18" s="43">
        <f t="shared" si="0"/>
        <v>7000</v>
      </c>
      <c r="D18" s="37">
        <f>+CEILING(Lifestyle!BH28*Shepparton!M18,5)</f>
        <v>7040</v>
      </c>
      <c r="E18" s="37">
        <f>+CEILING(Lifestyle!BK28*Shepparton!N18,5)</f>
        <v>4655</v>
      </c>
      <c r="F18" s="38">
        <f t="shared" si="1"/>
        <v>352925</v>
      </c>
      <c r="G18" s="37">
        <f>+CEILING(Lifestyle!BL28*Shepparton!O18,5)</f>
        <v>5440</v>
      </c>
      <c r="H18" s="20"/>
      <c r="I18" s="39">
        <f>+Lifestyle!BB28</f>
        <v>330229</v>
      </c>
      <c r="J18" s="21">
        <f t="shared" si="2"/>
        <v>0</v>
      </c>
      <c r="K18" s="21">
        <f>+Lifestyle!BD28</f>
        <v>4000</v>
      </c>
      <c r="L18" s="21">
        <f t="shared" si="3"/>
        <v>7000</v>
      </c>
      <c r="M18" s="21">
        <f t="shared" si="3"/>
        <v>103</v>
      </c>
      <c r="N18" s="21">
        <f t="shared" si="3"/>
        <v>60</v>
      </c>
      <c r="O18" s="21">
        <f t="shared" si="3"/>
        <v>85</v>
      </c>
    </row>
    <row r="19" spans="1:15" s="21" customFormat="1" ht="15.95" customHeight="1">
      <c r="A19" s="42" t="s">
        <v>28</v>
      </c>
      <c r="B19" s="35">
        <f t="shared" si="4"/>
        <v>330980</v>
      </c>
      <c r="C19" s="43">
        <f t="shared" si="0"/>
        <v>7000</v>
      </c>
      <c r="D19" s="37">
        <f>+CEILING(Lifestyle!BH29*Shepparton!M19,5)</f>
        <v>7050</v>
      </c>
      <c r="E19" s="37">
        <f>+CEILING(Lifestyle!BK29*Shepparton!N19,5)</f>
        <v>4900</v>
      </c>
      <c r="F19" s="38">
        <f t="shared" si="1"/>
        <v>349930</v>
      </c>
      <c r="G19" s="37">
        <f>+CEILING(Lifestyle!BL29*Shepparton!O19,5)</f>
        <v>5270</v>
      </c>
      <c r="H19" s="20"/>
      <c r="I19" s="39">
        <f>+Lifestyle!BB29</f>
        <v>326973</v>
      </c>
      <c r="J19" s="21">
        <f t="shared" si="2"/>
        <v>0</v>
      </c>
      <c r="K19" s="21">
        <f>+Lifestyle!BD29</f>
        <v>4000</v>
      </c>
      <c r="L19" s="21">
        <f t="shared" si="3"/>
        <v>7000</v>
      </c>
      <c r="M19" s="21">
        <f t="shared" si="3"/>
        <v>103</v>
      </c>
      <c r="N19" s="21">
        <f t="shared" si="3"/>
        <v>60</v>
      </c>
      <c r="O19" s="21">
        <f t="shared" si="3"/>
        <v>85</v>
      </c>
    </row>
    <row r="20" spans="1:15" s="21" customFormat="1" ht="15.95" customHeight="1">
      <c r="A20" s="42" t="s">
        <v>29</v>
      </c>
      <c r="B20" s="35">
        <f t="shared" si="4"/>
        <v>342910</v>
      </c>
      <c r="C20" s="43">
        <f t="shared" si="0"/>
        <v>7000</v>
      </c>
      <c r="D20" s="37">
        <f>+CEILING(Lifestyle!BH30*Shepparton!M20,5)</f>
        <v>7995</v>
      </c>
      <c r="E20" s="37">
        <f>+CEILING(Lifestyle!BK30*Shepparton!N20,5)</f>
        <v>6080</v>
      </c>
      <c r="F20" s="38">
        <f t="shared" si="1"/>
        <v>363985</v>
      </c>
      <c r="G20" s="37">
        <f>+CEILING(Lifestyle!BL30*Shepparton!O20,5)</f>
        <v>5525</v>
      </c>
      <c r="H20" s="20"/>
      <c r="I20" s="39">
        <f>+Lifestyle!BB30</f>
        <v>338903</v>
      </c>
      <c r="J20" s="21">
        <f t="shared" si="2"/>
        <v>0</v>
      </c>
      <c r="K20" s="21">
        <f>+Lifestyle!BD30</f>
        <v>4000</v>
      </c>
      <c r="L20" s="21">
        <f t="shared" si="3"/>
        <v>7000</v>
      </c>
      <c r="M20" s="21">
        <f t="shared" si="3"/>
        <v>103</v>
      </c>
      <c r="N20" s="21">
        <f t="shared" si="3"/>
        <v>60</v>
      </c>
      <c r="O20" s="21">
        <f t="shared" si="3"/>
        <v>85</v>
      </c>
    </row>
    <row r="21" spans="1:15" s="21" customFormat="1" ht="15.95" customHeight="1">
      <c r="A21" s="42" t="s">
        <v>30</v>
      </c>
      <c r="B21" s="35">
        <f t="shared" si="4"/>
        <v>347740</v>
      </c>
      <c r="C21" s="43">
        <f t="shared" si="0"/>
        <v>7000</v>
      </c>
      <c r="D21" s="37">
        <f>+CEILING(Lifestyle!BH31*Shepparton!M21,5)</f>
        <v>8895</v>
      </c>
      <c r="E21" s="37">
        <f>+CEILING(Lifestyle!BK31*Shepparton!N21,5)</f>
        <v>4395</v>
      </c>
      <c r="F21" s="38">
        <f t="shared" si="1"/>
        <v>368030</v>
      </c>
      <c r="G21" s="37">
        <f>+CEILING(Lifestyle!BL31*Shepparton!O21,5)</f>
        <v>5525</v>
      </c>
      <c r="H21" s="20"/>
      <c r="I21" s="39">
        <f>+Lifestyle!BB31</f>
        <v>343732</v>
      </c>
      <c r="J21" s="21">
        <f t="shared" si="2"/>
        <v>0</v>
      </c>
      <c r="K21" s="21">
        <f>+Lifestyle!BD31</f>
        <v>4000</v>
      </c>
      <c r="L21" s="21">
        <f t="shared" ref="L21:O27" si="11">+L20</f>
        <v>7000</v>
      </c>
      <c r="M21" s="21">
        <f t="shared" si="11"/>
        <v>103</v>
      </c>
      <c r="N21" s="21">
        <f t="shared" si="11"/>
        <v>60</v>
      </c>
      <c r="O21" s="21">
        <f t="shared" si="11"/>
        <v>85</v>
      </c>
    </row>
    <row r="22" spans="1:15" s="21" customFormat="1" ht="15.95" customHeight="1">
      <c r="A22" s="42" t="s">
        <v>1400</v>
      </c>
      <c r="B22" s="35">
        <f t="shared" si="4"/>
        <v>355250</v>
      </c>
      <c r="C22" s="43">
        <f t="shared" ref="C22" si="12">+L22</f>
        <v>7000</v>
      </c>
      <c r="D22" s="37">
        <f>+CEILING(Lifestyle!BH32*Shepparton!M22,5)</f>
        <v>9335</v>
      </c>
      <c r="E22" s="37">
        <f>+CEILING(Lifestyle!BK32*Shepparton!N22,5)</f>
        <v>5835</v>
      </c>
      <c r="F22" s="38">
        <f t="shared" ref="F22" si="13">SUM(B22:E22)</f>
        <v>377420</v>
      </c>
      <c r="G22" s="37">
        <f>+CEILING(Lifestyle!BL32*Shepparton!O22,5)</f>
        <v>5525</v>
      </c>
      <c r="H22" s="20"/>
      <c r="I22" s="39">
        <f>+Lifestyle!BB32</f>
        <v>351250</v>
      </c>
      <c r="J22" s="21">
        <f t="shared" si="2"/>
        <v>0</v>
      </c>
      <c r="K22" s="21">
        <f>+Lifestyle!BD32</f>
        <v>4000</v>
      </c>
      <c r="L22" s="21">
        <f t="shared" si="2"/>
        <v>7000</v>
      </c>
      <c r="M22" s="21">
        <f t="shared" si="2"/>
        <v>103</v>
      </c>
      <c r="N22" s="21">
        <f t="shared" si="2"/>
        <v>60</v>
      </c>
      <c r="O22" s="21">
        <f t="shared" si="2"/>
        <v>85</v>
      </c>
    </row>
    <row r="23" spans="1:15" s="21" customFormat="1" ht="15" customHeight="1">
      <c r="A23" s="42" t="s">
        <v>1019</v>
      </c>
      <c r="B23" s="35">
        <f t="shared" si="4"/>
        <v>315600</v>
      </c>
      <c r="C23" s="43">
        <f t="shared" si="0"/>
        <v>7000</v>
      </c>
      <c r="D23" s="37">
        <f>+CEILING(Lifestyle!BH33*Shepparton!M23,5)</f>
        <v>7970</v>
      </c>
      <c r="E23" s="37">
        <f>+CEILING(Lifestyle!BK33*Shepparton!N23,5)</f>
        <v>3015</v>
      </c>
      <c r="F23" s="38">
        <f t="shared" si="1"/>
        <v>333585</v>
      </c>
      <c r="G23" s="37">
        <f>+CEILING(Lifestyle!BL33*Shepparton!O23,5)</f>
        <v>4505</v>
      </c>
      <c r="H23" s="20"/>
      <c r="I23" s="39">
        <f>+Lifestyle!BB33</f>
        <v>312597</v>
      </c>
      <c r="J23" s="21">
        <f t="shared" si="2"/>
        <v>0</v>
      </c>
      <c r="K23" s="21">
        <f>+Lifestyle!BD33</f>
        <v>3000</v>
      </c>
      <c r="L23" s="21">
        <f t="shared" si="2"/>
        <v>7000</v>
      </c>
      <c r="M23" s="21">
        <f t="shared" si="2"/>
        <v>103</v>
      </c>
      <c r="N23" s="21">
        <f t="shared" si="2"/>
        <v>60</v>
      </c>
      <c r="O23" s="21">
        <f t="shared" si="2"/>
        <v>85</v>
      </c>
    </row>
    <row r="24" spans="1:15" s="21" customFormat="1" ht="15.95" customHeight="1">
      <c r="A24" s="42" t="s">
        <v>31</v>
      </c>
      <c r="B24" s="35">
        <f t="shared" si="4"/>
        <v>364750</v>
      </c>
      <c r="C24" s="43">
        <f t="shared" si="0"/>
        <v>7000</v>
      </c>
      <c r="D24" s="37">
        <f>+CEILING(Lifestyle!BH34*Shepparton!M24,5)</f>
        <v>9640</v>
      </c>
      <c r="E24" s="37">
        <f>+CEILING(Lifestyle!BK34*Shepparton!N24,5)</f>
        <v>5305</v>
      </c>
      <c r="F24" s="38">
        <f t="shared" si="1"/>
        <v>386695</v>
      </c>
      <c r="G24" s="37">
        <f>+CEILING(Lifestyle!BL34*Shepparton!O24,5)</f>
        <v>5695</v>
      </c>
      <c r="H24" s="20"/>
      <c r="I24" s="39">
        <f>+Lifestyle!BB34</f>
        <v>360743</v>
      </c>
      <c r="J24" s="21">
        <f t="shared" si="2"/>
        <v>0</v>
      </c>
      <c r="K24" s="21">
        <f>+Lifestyle!BD34</f>
        <v>4000</v>
      </c>
      <c r="L24" s="21">
        <f t="shared" si="11"/>
        <v>7000</v>
      </c>
      <c r="M24" s="21">
        <f t="shared" si="11"/>
        <v>103</v>
      </c>
      <c r="N24" s="21">
        <f t="shared" si="11"/>
        <v>60</v>
      </c>
      <c r="O24" s="21">
        <f t="shared" si="11"/>
        <v>85</v>
      </c>
    </row>
    <row r="25" spans="1:15" s="21" customFormat="1" ht="15.95" customHeight="1">
      <c r="A25" s="42" t="s">
        <v>1339</v>
      </c>
      <c r="B25" s="35">
        <f t="shared" si="4"/>
        <v>367040</v>
      </c>
      <c r="C25" s="43">
        <f>+L25</f>
        <v>7000</v>
      </c>
      <c r="D25" s="37">
        <f>+CEILING(Lifestyle!BH35*Shepparton!M25,5)</f>
        <v>10765</v>
      </c>
      <c r="E25" s="37">
        <f>+CEILING(Lifestyle!BK35*Shepparton!N25,5)</f>
        <v>5680</v>
      </c>
      <c r="F25" s="38">
        <f>SUM(B25:E25)</f>
        <v>390485</v>
      </c>
      <c r="G25" s="37">
        <f>+CEILING(Lifestyle!BL35*Shepparton!O25,5)</f>
        <v>5950</v>
      </c>
      <c r="H25" s="20"/>
      <c r="I25" s="39">
        <f>+Lifestyle!BB35</f>
        <v>363040</v>
      </c>
      <c r="J25" s="21">
        <f t="shared" si="2"/>
        <v>0</v>
      </c>
      <c r="K25" s="21">
        <f>+Lifestyle!BD35</f>
        <v>4000</v>
      </c>
      <c r="L25" s="21">
        <f t="shared" si="11"/>
        <v>7000</v>
      </c>
      <c r="M25" s="21">
        <f t="shared" si="11"/>
        <v>103</v>
      </c>
      <c r="N25" s="21">
        <f t="shared" si="11"/>
        <v>60</v>
      </c>
      <c r="O25" s="21">
        <f t="shared" si="11"/>
        <v>85</v>
      </c>
    </row>
    <row r="26" spans="1:15" s="21" customFormat="1" ht="15.95" customHeight="1">
      <c r="A26" s="42" t="s">
        <v>1020</v>
      </c>
      <c r="B26" s="35">
        <f t="shared" si="4"/>
        <v>399090</v>
      </c>
      <c r="C26" s="43">
        <f t="shared" si="0"/>
        <v>7000</v>
      </c>
      <c r="D26" s="37">
        <f>+CEILING(Lifestyle!BH36*Shepparton!M26,5)</f>
        <v>11835</v>
      </c>
      <c r="E26" s="37">
        <f>+CEILING(Lifestyle!BK36*Shepparton!N26,5)</f>
        <v>5245</v>
      </c>
      <c r="F26" s="38">
        <f t="shared" si="1"/>
        <v>423170</v>
      </c>
      <c r="G26" s="37">
        <f>+CEILING(Lifestyle!BL36*Shepparton!O26,5)</f>
        <v>6375</v>
      </c>
      <c r="H26" s="20"/>
      <c r="I26" s="39">
        <f>+Lifestyle!BB36</f>
        <v>395086</v>
      </c>
      <c r="J26" s="21">
        <f t="shared" si="2"/>
        <v>0</v>
      </c>
      <c r="K26" s="21">
        <f>+Lifestyle!BD36</f>
        <v>4000</v>
      </c>
      <c r="L26" s="21">
        <f t="shared" si="11"/>
        <v>7000</v>
      </c>
      <c r="M26" s="21">
        <f t="shared" si="11"/>
        <v>103</v>
      </c>
      <c r="N26" s="21">
        <f t="shared" si="11"/>
        <v>60</v>
      </c>
      <c r="O26" s="21">
        <f t="shared" si="11"/>
        <v>85</v>
      </c>
    </row>
    <row r="27" spans="1:15" s="21" customFormat="1" ht="15.95" customHeight="1">
      <c r="A27" s="42" t="s">
        <v>1021</v>
      </c>
      <c r="B27" s="35">
        <f t="shared" si="4"/>
        <v>444180</v>
      </c>
      <c r="C27" s="43">
        <f t="shared" si="0"/>
        <v>7000</v>
      </c>
      <c r="D27" s="37">
        <f>+CEILING(Lifestyle!BH37*Shepparton!M27,5)</f>
        <v>13260</v>
      </c>
      <c r="E27" s="37">
        <f>+CEILING(Lifestyle!BK37*Shepparton!N27,5)</f>
        <v>7725</v>
      </c>
      <c r="F27" s="38">
        <f t="shared" si="1"/>
        <v>472165</v>
      </c>
      <c r="G27" s="37">
        <f>+CEILING(Lifestyle!BL37*Shepparton!O27,5)</f>
        <v>6800</v>
      </c>
      <c r="H27" s="20"/>
      <c r="I27" s="39">
        <f>+Lifestyle!BB37</f>
        <v>440177</v>
      </c>
      <c r="J27" s="21">
        <f t="shared" si="2"/>
        <v>0</v>
      </c>
      <c r="K27" s="21">
        <f>+Lifestyle!BD37</f>
        <v>4000</v>
      </c>
      <c r="L27" s="21">
        <f t="shared" si="11"/>
        <v>7000</v>
      </c>
      <c r="M27" s="21">
        <f t="shared" si="11"/>
        <v>103</v>
      </c>
      <c r="N27" s="21">
        <f t="shared" si="11"/>
        <v>60</v>
      </c>
      <c r="O27" s="21">
        <f t="shared" si="11"/>
        <v>85</v>
      </c>
    </row>
    <row r="28" spans="1:15" s="21" customFormat="1" ht="15.95" customHeight="1">
      <c r="A28" s="42" t="str">
        <f>+Lifestyle!A38</f>
        <v>Bathurst 25</v>
      </c>
      <c r="B28" s="35">
        <f t="shared" si="4"/>
        <v>347410</v>
      </c>
      <c r="C28" s="43">
        <f t="shared" ref="C28:C31" si="14">+L28</f>
        <v>7000</v>
      </c>
      <c r="D28" s="37">
        <f>+CEILING(Lifestyle!BH38*Shepparton!M28,5)</f>
        <v>7285</v>
      </c>
      <c r="E28" s="37">
        <f>+CEILING(Lifestyle!BK38*Shepparton!N28,5)</f>
        <v>3960</v>
      </c>
      <c r="F28" s="38">
        <f t="shared" ref="F28:F31" si="15">SUM(B28:E28)</f>
        <v>365655</v>
      </c>
      <c r="G28" s="37">
        <f>+CEILING(Lifestyle!BL38*Shepparton!O28,5)</f>
        <v>5185</v>
      </c>
      <c r="H28" s="20"/>
      <c r="I28" s="39">
        <f>+Lifestyle!BB38</f>
        <v>343405</v>
      </c>
      <c r="J28" s="21">
        <f t="shared" ref="J28:O28" si="16">+J27</f>
        <v>0</v>
      </c>
      <c r="K28" s="21">
        <f>+Lifestyle!BD38</f>
        <v>4000</v>
      </c>
      <c r="L28" s="21">
        <f t="shared" si="16"/>
        <v>7000</v>
      </c>
      <c r="M28" s="21">
        <f t="shared" si="16"/>
        <v>103</v>
      </c>
      <c r="N28" s="21">
        <f t="shared" si="16"/>
        <v>60</v>
      </c>
      <c r="O28" s="21">
        <f t="shared" si="16"/>
        <v>85</v>
      </c>
    </row>
    <row r="29" spans="1:15" s="21" customFormat="1" ht="15.95" customHeight="1">
      <c r="A29" s="42" t="str">
        <f>+Lifestyle!A39</f>
        <v>Bathurst 30</v>
      </c>
      <c r="B29" s="35">
        <f t="shared" si="4"/>
        <v>394390</v>
      </c>
      <c r="C29" s="43">
        <f t="shared" si="14"/>
        <v>7000</v>
      </c>
      <c r="D29" s="37">
        <f>+CEILING(Lifestyle!BH39*Shepparton!M29,5)</f>
        <v>8780</v>
      </c>
      <c r="E29" s="37">
        <f>+CEILING(Lifestyle!BK39*Shepparton!N29,5)</f>
        <v>5635</v>
      </c>
      <c r="F29" s="38">
        <f t="shared" si="15"/>
        <v>415805</v>
      </c>
      <c r="G29" s="37">
        <f>+CEILING(Lifestyle!BL39*Shepparton!O29,5)</f>
        <v>5950</v>
      </c>
      <c r="H29" s="20"/>
      <c r="I29" s="39">
        <f>+Lifestyle!BB39</f>
        <v>390384</v>
      </c>
      <c r="J29" s="21">
        <f t="shared" ref="J29:O29" si="17">+J28</f>
        <v>0</v>
      </c>
      <c r="K29" s="21">
        <f>+Lifestyle!BD39</f>
        <v>4000</v>
      </c>
      <c r="L29" s="21">
        <f t="shared" si="17"/>
        <v>7000</v>
      </c>
      <c r="M29" s="21">
        <f t="shared" si="17"/>
        <v>103</v>
      </c>
      <c r="N29" s="21">
        <f t="shared" si="17"/>
        <v>60</v>
      </c>
      <c r="O29" s="21">
        <f t="shared" si="17"/>
        <v>85</v>
      </c>
    </row>
    <row r="30" spans="1:15" s="21" customFormat="1" ht="15.95" customHeight="1">
      <c r="A30" s="42" t="str">
        <f>+Lifestyle!A40</f>
        <v>Bathurst 34</v>
      </c>
      <c r="B30" s="35">
        <f t="shared" si="4"/>
        <v>415480</v>
      </c>
      <c r="C30" s="43">
        <f t="shared" si="14"/>
        <v>7000</v>
      </c>
      <c r="D30" s="37">
        <f>+CEILING(Lifestyle!BH40*Shepparton!M30,5)</f>
        <v>9675</v>
      </c>
      <c r="E30" s="37">
        <f>+CEILING(Lifestyle!BK40*Shepparton!N30,5)</f>
        <v>6350</v>
      </c>
      <c r="F30" s="38">
        <f t="shared" si="15"/>
        <v>438505</v>
      </c>
      <c r="G30" s="37">
        <f>+CEILING(Lifestyle!BL40*Shepparton!O30,5)</f>
        <v>6290</v>
      </c>
      <c r="H30" s="20"/>
      <c r="I30" s="39">
        <f>+Lifestyle!BB40</f>
        <v>411473</v>
      </c>
      <c r="J30" s="21">
        <f t="shared" ref="J30:O30" si="18">+J29</f>
        <v>0</v>
      </c>
      <c r="K30" s="21">
        <f>+Lifestyle!BD40</f>
        <v>4000</v>
      </c>
      <c r="L30" s="21">
        <f t="shared" si="18"/>
        <v>7000</v>
      </c>
      <c r="M30" s="21">
        <f t="shared" si="18"/>
        <v>103</v>
      </c>
      <c r="N30" s="21">
        <f t="shared" si="18"/>
        <v>60</v>
      </c>
      <c r="O30" s="21">
        <f t="shared" si="18"/>
        <v>85</v>
      </c>
    </row>
    <row r="31" spans="1:15" s="21" customFormat="1" ht="15.95" customHeight="1">
      <c r="A31" s="42" t="s">
        <v>32</v>
      </c>
      <c r="B31" s="35">
        <f t="shared" si="4"/>
        <v>316920</v>
      </c>
      <c r="C31" s="43">
        <f t="shared" si="14"/>
        <v>7000</v>
      </c>
      <c r="D31" s="37">
        <f>+CEILING(Lifestyle!BH41*Shepparton!M31,5)</f>
        <v>8145</v>
      </c>
      <c r="E31" s="37">
        <f>+CEILING(Lifestyle!BK41*Shepparton!N31,5)</f>
        <v>3005</v>
      </c>
      <c r="F31" s="38">
        <f t="shared" si="15"/>
        <v>335070</v>
      </c>
      <c r="G31" s="37">
        <f>+CEILING(Lifestyle!BL41*Shepparton!O31,5)</f>
        <v>4760</v>
      </c>
      <c r="H31" s="20"/>
      <c r="I31" s="39">
        <f>+Lifestyle!BB41</f>
        <v>313918</v>
      </c>
      <c r="J31" s="21">
        <f t="shared" ref="J31:O31" si="19">+J30</f>
        <v>0</v>
      </c>
      <c r="K31" s="21">
        <f>+Lifestyle!BD41</f>
        <v>3000</v>
      </c>
      <c r="L31" s="21">
        <f t="shared" si="19"/>
        <v>7000</v>
      </c>
      <c r="M31" s="21">
        <f t="shared" si="19"/>
        <v>103</v>
      </c>
      <c r="N31" s="21">
        <f t="shared" si="19"/>
        <v>60</v>
      </c>
      <c r="O31" s="21">
        <f t="shared" si="19"/>
        <v>85</v>
      </c>
    </row>
    <row r="32" spans="1:15" s="21" customFormat="1" ht="15.95" customHeight="1">
      <c r="A32" s="42" t="s">
        <v>33</v>
      </c>
      <c r="B32" s="35">
        <f t="shared" si="4"/>
        <v>339870</v>
      </c>
      <c r="C32" s="43">
        <f t="shared" si="0"/>
        <v>7000</v>
      </c>
      <c r="D32" s="37">
        <f>+CEILING(Lifestyle!BH42*Shepparton!M32,5)</f>
        <v>7115</v>
      </c>
      <c r="E32" s="37">
        <f>+CEILING(Lifestyle!BK42*Shepparton!N32,5)</f>
        <v>5060</v>
      </c>
      <c r="F32" s="38">
        <f t="shared" si="1"/>
        <v>359045</v>
      </c>
      <c r="G32" s="37">
        <f>+CEILING(Lifestyle!BL42*Shepparton!O32,5)</f>
        <v>5270</v>
      </c>
      <c r="H32" s="20"/>
      <c r="I32" s="39">
        <f>+Lifestyle!BB42</f>
        <v>335864</v>
      </c>
      <c r="J32" s="21">
        <f t="shared" si="2"/>
        <v>0</v>
      </c>
      <c r="K32" s="21">
        <f>+Lifestyle!BD42</f>
        <v>4000</v>
      </c>
      <c r="L32" s="21">
        <f>+L31</f>
        <v>7000</v>
      </c>
      <c r="M32" s="21">
        <f t="shared" ref="J32:O40" si="20">+M31</f>
        <v>103</v>
      </c>
      <c r="N32" s="21">
        <f t="shared" si="20"/>
        <v>60</v>
      </c>
      <c r="O32" s="21">
        <f t="shared" si="20"/>
        <v>85</v>
      </c>
    </row>
    <row r="33" spans="1:15" s="21" customFormat="1" ht="15.95" customHeight="1">
      <c r="A33" s="42" t="s">
        <v>34</v>
      </c>
      <c r="B33" s="35">
        <f t="shared" si="4"/>
        <v>375790</v>
      </c>
      <c r="C33" s="43">
        <f t="shared" si="0"/>
        <v>7000</v>
      </c>
      <c r="D33" s="37">
        <f>+CEILING(Lifestyle!BH43*Shepparton!M33,5)</f>
        <v>8295</v>
      </c>
      <c r="E33" s="37">
        <f>+CEILING(Lifestyle!BK43*Shepparton!N33,5)</f>
        <v>6975</v>
      </c>
      <c r="F33" s="38">
        <f t="shared" si="1"/>
        <v>398060</v>
      </c>
      <c r="G33" s="37">
        <f>+CEILING(Lifestyle!BL43*Shepparton!O33,5)</f>
        <v>6120</v>
      </c>
      <c r="H33" s="20"/>
      <c r="I33" s="39">
        <f>+Lifestyle!BB43</f>
        <v>371790</v>
      </c>
      <c r="J33" s="21">
        <f t="shared" si="2"/>
        <v>0</v>
      </c>
      <c r="K33" s="21">
        <f>+Lifestyle!BD43</f>
        <v>4000</v>
      </c>
      <c r="L33" s="21">
        <f>+L32</f>
        <v>7000</v>
      </c>
      <c r="M33" s="21">
        <f t="shared" si="20"/>
        <v>103</v>
      </c>
      <c r="N33" s="21">
        <f t="shared" si="20"/>
        <v>60</v>
      </c>
      <c r="O33" s="21">
        <f t="shared" si="20"/>
        <v>85</v>
      </c>
    </row>
    <row r="34" spans="1:15" s="21" customFormat="1" ht="15.95" customHeight="1">
      <c r="A34" s="42" t="s">
        <v>35</v>
      </c>
      <c r="B34" s="35">
        <f t="shared" si="4"/>
        <v>330730</v>
      </c>
      <c r="C34" s="43">
        <f t="shared" si="0"/>
        <v>7000</v>
      </c>
      <c r="D34" s="37">
        <f>+CEILING(Lifestyle!BH44*Shepparton!M34,5)</f>
        <v>9315</v>
      </c>
      <c r="E34" s="37">
        <f>+CEILING(Lifestyle!BK44*Shepparton!N34,5)</f>
        <v>3765</v>
      </c>
      <c r="F34" s="38">
        <f t="shared" si="1"/>
        <v>350810</v>
      </c>
      <c r="G34" s="37">
        <f>+CEILING(Lifestyle!BL44*Shepparton!O34,5)</f>
        <v>5355</v>
      </c>
      <c r="H34" s="20"/>
      <c r="I34" s="39">
        <f>+Lifestyle!BB44</f>
        <v>326725</v>
      </c>
      <c r="J34" s="21">
        <f t="shared" si="2"/>
        <v>0</v>
      </c>
      <c r="K34" s="21">
        <f>+Lifestyle!BD44</f>
        <v>4000</v>
      </c>
      <c r="L34" s="21">
        <f>+L33</f>
        <v>7000</v>
      </c>
      <c r="M34" s="21">
        <f t="shared" si="20"/>
        <v>103</v>
      </c>
      <c r="N34" s="21">
        <f t="shared" si="20"/>
        <v>60</v>
      </c>
      <c r="O34" s="21">
        <f t="shared" si="20"/>
        <v>85</v>
      </c>
    </row>
    <row r="35" spans="1:15" s="21" customFormat="1" ht="15.95" customHeight="1">
      <c r="A35" s="42" t="s">
        <v>36</v>
      </c>
      <c r="B35" s="35">
        <f t="shared" si="4"/>
        <v>369170</v>
      </c>
      <c r="C35" s="43">
        <f t="shared" si="0"/>
        <v>7000</v>
      </c>
      <c r="D35" s="37">
        <f>+CEILING(Lifestyle!BH45*Shepparton!M35,5)</f>
        <v>10850</v>
      </c>
      <c r="E35" s="37">
        <f>+CEILING(Lifestyle!BK45*Shepparton!N35,5)</f>
        <v>5070</v>
      </c>
      <c r="F35" s="38">
        <f t="shared" si="1"/>
        <v>392090</v>
      </c>
      <c r="G35" s="37">
        <f>+CEILING(Lifestyle!BL45*Shepparton!O35,5)</f>
        <v>5780</v>
      </c>
      <c r="H35" s="20"/>
      <c r="I35" s="39">
        <f>+Lifestyle!BB45</f>
        <v>365164</v>
      </c>
      <c r="J35" s="21">
        <f t="shared" si="20"/>
        <v>0</v>
      </c>
      <c r="K35" s="21">
        <f>+Lifestyle!BD45</f>
        <v>4000</v>
      </c>
      <c r="L35" s="21">
        <f t="shared" si="20"/>
        <v>7000</v>
      </c>
      <c r="M35" s="21">
        <f t="shared" si="20"/>
        <v>103</v>
      </c>
      <c r="N35" s="21">
        <f t="shared" si="20"/>
        <v>60</v>
      </c>
      <c r="O35" s="21">
        <f t="shared" si="20"/>
        <v>85</v>
      </c>
    </row>
    <row r="36" spans="1:15" s="21" customFormat="1" ht="15.95" customHeight="1">
      <c r="A36" s="42" t="s">
        <v>37</v>
      </c>
      <c r="B36" s="35">
        <f t="shared" si="4"/>
        <v>399980</v>
      </c>
      <c r="C36" s="43">
        <f t="shared" si="0"/>
        <v>7000</v>
      </c>
      <c r="D36" s="37">
        <f>+CEILING(Lifestyle!BH46*Shepparton!M36,5)</f>
        <v>12315</v>
      </c>
      <c r="E36" s="37">
        <f>+CEILING(Lifestyle!BK46*Shepparton!N36,5)</f>
        <v>6445</v>
      </c>
      <c r="F36" s="38">
        <f t="shared" si="1"/>
        <v>425740</v>
      </c>
      <c r="G36" s="37">
        <f>+CEILING(Lifestyle!BL46*Shepparton!O36,5)</f>
        <v>5865</v>
      </c>
      <c r="H36" s="20"/>
      <c r="I36" s="39">
        <f>+Lifestyle!BB46</f>
        <v>395974</v>
      </c>
      <c r="J36" s="21">
        <f t="shared" si="20"/>
        <v>0</v>
      </c>
      <c r="K36" s="21">
        <f>+Lifestyle!BD46</f>
        <v>4000</v>
      </c>
      <c r="L36" s="21">
        <f t="shared" si="20"/>
        <v>7000</v>
      </c>
      <c r="M36" s="21">
        <f t="shared" si="20"/>
        <v>103</v>
      </c>
      <c r="N36" s="21">
        <f t="shared" si="20"/>
        <v>60</v>
      </c>
      <c r="O36" s="21">
        <f t="shared" si="20"/>
        <v>85</v>
      </c>
    </row>
    <row r="37" spans="1:15" s="21" customFormat="1" ht="15.95" customHeight="1">
      <c r="A37" s="42" t="s">
        <v>38</v>
      </c>
      <c r="B37" s="35">
        <f t="shared" si="4"/>
        <v>309750</v>
      </c>
      <c r="C37" s="43">
        <f t="shared" si="0"/>
        <v>7000</v>
      </c>
      <c r="D37" s="37">
        <f>+CEILING(Lifestyle!BH47*Shepparton!M37,5)</f>
        <v>7965</v>
      </c>
      <c r="E37" s="37">
        <f>+CEILING(Lifestyle!BK47*Shepparton!N37,5)</f>
        <v>3465</v>
      </c>
      <c r="F37" s="38">
        <f t="shared" si="1"/>
        <v>328180</v>
      </c>
      <c r="G37" s="37">
        <f>+CEILING(Lifestyle!BL47*Shepparton!O37,5)</f>
        <v>4845</v>
      </c>
      <c r="H37" s="20"/>
      <c r="I37" s="39">
        <f>+Lifestyle!BB47</f>
        <v>306745</v>
      </c>
      <c r="J37" s="21">
        <f t="shared" si="20"/>
        <v>0</v>
      </c>
      <c r="K37" s="21">
        <f>+Lifestyle!BD47</f>
        <v>3000</v>
      </c>
      <c r="L37" s="21">
        <f t="shared" si="20"/>
        <v>7000</v>
      </c>
      <c r="M37" s="21">
        <f t="shared" si="20"/>
        <v>103</v>
      </c>
      <c r="N37" s="21">
        <f t="shared" si="20"/>
        <v>60</v>
      </c>
      <c r="O37" s="21">
        <f t="shared" si="20"/>
        <v>85</v>
      </c>
    </row>
    <row r="38" spans="1:15" s="21" customFormat="1" ht="15.95" customHeight="1">
      <c r="A38" s="42" t="s">
        <v>39</v>
      </c>
      <c r="B38" s="35">
        <f t="shared" si="4"/>
        <v>329670</v>
      </c>
      <c r="C38" s="43">
        <f t="shared" si="0"/>
        <v>7000</v>
      </c>
      <c r="D38" s="37">
        <f>+CEILING(Lifestyle!BH48*Shepparton!M38,5)</f>
        <v>7465</v>
      </c>
      <c r="E38" s="37">
        <f>+CEILING(Lifestyle!BK48*Shepparton!N38,5)</f>
        <v>4845</v>
      </c>
      <c r="F38" s="38">
        <f t="shared" si="1"/>
        <v>348980</v>
      </c>
      <c r="G38" s="37">
        <f>+CEILING(Lifestyle!BL48*Shepparton!O38,5)</f>
        <v>4845</v>
      </c>
      <c r="H38" s="20"/>
      <c r="I38" s="39">
        <f>+Lifestyle!BB48</f>
        <v>326664</v>
      </c>
      <c r="J38" s="21">
        <f t="shared" si="20"/>
        <v>0</v>
      </c>
      <c r="K38" s="21">
        <f>+Lifestyle!BD48</f>
        <v>3000</v>
      </c>
      <c r="L38" s="21">
        <f t="shared" si="20"/>
        <v>7000</v>
      </c>
      <c r="M38" s="21">
        <f t="shared" si="20"/>
        <v>103</v>
      </c>
      <c r="N38" s="21">
        <f t="shared" si="20"/>
        <v>60</v>
      </c>
      <c r="O38" s="21">
        <f t="shared" si="20"/>
        <v>85</v>
      </c>
    </row>
    <row r="39" spans="1:15" s="21" customFormat="1" ht="15.95" customHeight="1">
      <c r="A39" s="42" t="s">
        <v>40</v>
      </c>
      <c r="B39" s="35">
        <f t="shared" si="4"/>
        <v>346130</v>
      </c>
      <c r="C39" s="43">
        <f t="shared" si="0"/>
        <v>7000</v>
      </c>
      <c r="D39" s="37">
        <f>+CEILING(Lifestyle!BH49*Shepparton!M39,5)</f>
        <v>8805</v>
      </c>
      <c r="E39" s="37">
        <f>+CEILING(Lifestyle!BK49*Shepparton!N39,5)</f>
        <v>5280</v>
      </c>
      <c r="F39" s="38">
        <f t="shared" si="1"/>
        <v>367215</v>
      </c>
      <c r="G39" s="37">
        <f>+CEILING(Lifestyle!BL49*Shepparton!O39,5)</f>
        <v>5100</v>
      </c>
      <c r="H39" s="20"/>
      <c r="I39" s="39">
        <f>+Lifestyle!BB49</f>
        <v>342124</v>
      </c>
      <c r="J39" s="21">
        <f t="shared" si="20"/>
        <v>0</v>
      </c>
      <c r="K39" s="21">
        <f>+Lifestyle!BD49</f>
        <v>4000</v>
      </c>
      <c r="L39" s="21">
        <f t="shared" si="20"/>
        <v>7000</v>
      </c>
      <c r="M39" s="21">
        <f t="shared" si="20"/>
        <v>103</v>
      </c>
      <c r="N39" s="21">
        <f t="shared" si="20"/>
        <v>60</v>
      </c>
      <c r="O39" s="21">
        <f t="shared" si="20"/>
        <v>85</v>
      </c>
    </row>
    <row r="40" spans="1:15" s="21" customFormat="1" ht="15.95" customHeight="1">
      <c r="A40" s="42" t="s">
        <v>41</v>
      </c>
      <c r="B40" s="35">
        <f t="shared" si="4"/>
        <v>376060</v>
      </c>
      <c r="C40" s="43">
        <f t="shared" si="0"/>
        <v>7000</v>
      </c>
      <c r="D40" s="37">
        <f>+CEILING(Lifestyle!BH50*Shepparton!M40,5)</f>
        <v>8275</v>
      </c>
      <c r="E40" s="37">
        <f>+CEILING(Lifestyle!BK50*Shepparton!N40,5)</f>
        <v>7495</v>
      </c>
      <c r="F40" s="38">
        <f t="shared" si="1"/>
        <v>398830</v>
      </c>
      <c r="G40" s="37">
        <f>+CEILING(Lifestyle!BL50*Shepparton!O40,5)</f>
        <v>5525</v>
      </c>
      <c r="H40" s="20"/>
      <c r="I40" s="39">
        <f>+Lifestyle!BB50</f>
        <v>372059</v>
      </c>
      <c r="J40" s="21">
        <f t="shared" si="20"/>
        <v>0</v>
      </c>
      <c r="K40" s="21">
        <f>+Lifestyle!BD50</f>
        <v>4000</v>
      </c>
      <c r="L40" s="21">
        <f t="shared" si="20"/>
        <v>7000</v>
      </c>
      <c r="M40" s="21">
        <f t="shared" si="20"/>
        <v>103</v>
      </c>
      <c r="N40" s="21">
        <f t="shared" si="20"/>
        <v>60</v>
      </c>
      <c r="O40" s="21">
        <f t="shared" si="20"/>
        <v>85</v>
      </c>
    </row>
    <row r="41" spans="1:15" s="21" customFormat="1" ht="5.25" customHeight="1" thickBot="1">
      <c r="C41" s="44"/>
      <c r="D41" s="44"/>
      <c r="E41" s="44"/>
      <c r="F41" s="45"/>
      <c r="G41" s="45"/>
      <c r="H41" s="20"/>
      <c r="L41" s="39"/>
    </row>
    <row r="42" spans="1:15" s="21" customFormat="1" ht="15.75">
      <c r="A42" s="46" t="s">
        <v>187</v>
      </c>
      <c r="B42" s="47"/>
      <c r="C42" s="44"/>
      <c r="D42" s="44"/>
      <c r="E42" s="48" t="s">
        <v>188</v>
      </c>
      <c r="F42" s="49"/>
      <c r="G42" s="50"/>
      <c r="H42" s="20"/>
      <c r="L42" s="39"/>
    </row>
    <row r="43" spans="1:15" s="21" customFormat="1" ht="15">
      <c r="A43" s="51" t="s">
        <v>189</v>
      </c>
      <c r="B43" s="52"/>
      <c r="C43" s="44"/>
      <c r="D43" s="44"/>
      <c r="E43" s="53" t="s">
        <v>190</v>
      </c>
      <c r="G43" s="22"/>
      <c r="H43" s="20"/>
      <c r="L43" s="39"/>
    </row>
    <row r="44" spans="1:15" s="21" customFormat="1" ht="15">
      <c r="A44" s="51" t="s">
        <v>191</v>
      </c>
      <c r="B44" s="52"/>
      <c r="C44" s="44"/>
      <c r="D44" s="44"/>
      <c r="E44" s="53" t="s">
        <v>192</v>
      </c>
      <c r="G44" s="22"/>
      <c r="H44" s="20"/>
      <c r="L44" s="39"/>
    </row>
    <row r="45" spans="1:15" s="21" customFormat="1" ht="15">
      <c r="A45" s="51" t="s">
        <v>193</v>
      </c>
      <c r="B45" s="52"/>
      <c r="C45" s="44"/>
      <c r="D45" s="44"/>
      <c r="E45" s="53" t="s">
        <v>1636</v>
      </c>
      <c r="G45" s="22"/>
      <c r="H45" s="20"/>
      <c r="L45" s="39"/>
    </row>
    <row r="46" spans="1:15" s="21" customFormat="1" ht="15">
      <c r="A46" s="51" t="s">
        <v>195</v>
      </c>
      <c r="B46" s="52"/>
      <c r="C46" s="44"/>
      <c r="D46" s="44"/>
      <c r="E46" s="53" t="s">
        <v>197</v>
      </c>
      <c r="G46" s="22"/>
      <c r="H46" s="20"/>
      <c r="L46" s="39"/>
    </row>
    <row r="47" spans="1:15" s="21" customFormat="1" ht="15.75" thickBot="1">
      <c r="A47" s="562"/>
      <c r="B47" s="55"/>
      <c r="C47" s="44"/>
      <c r="D47" s="44"/>
      <c r="E47" s="56" t="s">
        <v>198</v>
      </c>
      <c r="F47" s="57"/>
      <c r="G47" s="58"/>
      <c r="H47" s="20"/>
      <c r="L47" s="39"/>
    </row>
    <row r="48" spans="1:15" s="21" customFormat="1" ht="21" customHeight="1">
      <c r="A48" s="722" t="s">
        <v>174</v>
      </c>
      <c r="B48" s="722"/>
      <c r="C48" s="722"/>
      <c r="D48" s="722"/>
      <c r="E48" s="722"/>
      <c r="F48" s="722"/>
      <c r="G48" s="722"/>
      <c r="H48" s="20"/>
    </row>
    <row r="49" spans="1:15" s="21" customFormat="1" ht="21" customHeight="1" thickBot="1">
      <c r="A49" s="23" t="str">
        <f>+A2</f>
        <v>LIFESTYLE SINGLE STOREY PRICE LIST VALID UP TO AUG 2025</v>
      </c>
      <c r="F49" s="24"/>
      <c r="G49" s="25"/>
      <c r="H49" s="20"/>
      <c r="L49" s="39"/>
    </row>
    <row r="50" spans="1:15" s="21" customFormat="1" ht="91.5" customHeight="1" thickBot="1">
      <c r="A50" s="26" t="s">
        <v>175</v>
      </c>
      <c r="B50" s="27" t="s">
        <v>176</v>
      </c>
      <c r="C50" s="28" t="s">
        <v>177</v>
      </c>
      <c r="D50" s="28" t="s">
        <v>178</v>
      </c>
      <c r="E50" s="28" t="s">
        <v>179</v>
      </c>
      <c r="F50" s="29" t="s">
        <v>180</v>
      </c>
      <c r="G50" s="28" t="s">
        <v>181</v>
      </c>
      <c r="H50" s="20"/>
      <c r="L50" s="39"/>
    </row>
    <row r="51" spans="1:15" s="21" customFormat="1" ht="15.95" customHeight="1">
      <c r="A51" s="42" t="s">
        <v>42</v>
      </c>
      <c r="B51" s="35">
        <f t="shared" ref="B51:B83" si="21">+CEILING(I51+J51+K51,10)</f>
        <v>315050</v>
      </c>
      <c r="C51" s="43">
        <f t="shared" ref="C51:C56" si="22">+L51</f>
        <v>7000</v>
      </c>
      <c r="D51" s="37">
        <f>+CEILING(Lifestyle!BH51*Shepparton!M51,5)</f>
        <v>6705</v>
      </c>
      <c r="E51" s="37">
        <f>+CEILING(Lifestyle!BK51*Shepparton!N51,5)</f>
        <v>3215</v>
      </c>
      <c r="F51" s="38">
        <f>SUM(B51:E51)</f>
        <v>331970</v>
      </c>
      <c r="G51" s="37">
        <f>+CEILING(Lifestyle!BL51*Shepparton!O51,5)</f>
        <v>5440</v>
      </c>
      <c r="H51" s="20"/>
      <c r="I51" s="39">
        <f>+Lifestyle!BB51</f>
        <v>312042</v>
      </c>
      <c r="J51" s="21">
        <f>+J40</f>
        <v>0</v>
      </c>
      <c r="K51" s="21">
        <f>+Lifestyle!BD51</f>
        <v>3000</v>
      </c>
      <c r="L51" s="21">
        <f>+L40</f>
        <v>7000</v>
      </c>
      <c r="M51" s="21">
        <f>+M40</f>
        <v>103</v>
      </c>
      <c r="N51" s="21">
        <f>+N40</f>
        <v>60</v>
      </c>
      <c r="O51" s="21">
        <f>+O40</f>
        <v>85</v>
      </c>
    </row>
    <row r="52" spans="1:15" s="21" customFormat="1" ht="15.95" customHeight="1">
      <c r="A52" s="42" t="s">
        <v>43</v>
      </c>
      <c r="B52" s="35">
        <f t="shared" si="21"/>
        <v>318110</v>
      </c>
      <c r="C52" s="43">
        <f t="shared" si="22"/>
        <v>7000</v>
      </c>
      <c r="D52" s="37">
        <f>+CEILING(Lifestyle!BH52*Shepparton!M52,5)</f>
        <v>6610</v>
      </c>
      <c r="E52" s="37">
        <f>+CEILING(Lifestyle!BK52*Shepparton!N52,5)</f>
        <v>3570</v>
      </c>
      <c r="F52" s="38">
        <f>SUM(B52:E52)</f>
        <v>335290</v>
      </c>
      <c r="G52" s="37">
        <f>+CEILING(Lifestyle!BL52*Shepparton!O52,5)</f>
        <v>5440</v>
      </c>
      <c r="H52" s="20"/>
      <c r="I52" s="39">
        <f>+Lifestyle!BB52</f>
        <v>315108</v>
      </c>
      <c r="J52" s="21">
        <f t="shared" ref="J52:O56" si="23">+J51</f>
        <v>0</v>
      </c>
      <c r="K52" s="21">
        <f>+Lifestyle!BD52</f>
        <v>3000</v>
      </c>
      <c r="L52" s="21">
        <f t="shared" si="23"/>
        <v>7000</v>
      </c>
      <c r="M52" s="21">
        <f t="shared" si="23"/>
        <v>103</v>
      </c>
      <c r="N52" s="21">
        <f t="shared" si="23"/>
        <v>60</v>
      </c>
      <c r="O52" s="21">
        <f t="shared" si="23"/>
        <v>85</v>
      </c>
    </row>
    <row r="53" spans="1:15" s="21" customFormat="1" ht="15.95" customHeight="1">
      <c r="A53" s="42" t="s">
        <v>44</v>
      </c>
      <c r="B53" s="35">
        <f t="shared" si="21"/>
        <v>329230</v>
      </c>
      <c r="C53" s="43">
        <f t="shared" si="22"/>
        <v>7000</v>
      </c>
      <c r="D53" s="37">
        <f>+CEILING(Lifestyle!BH53*Shepparton!M53,5)</f>
        <v>6905</v>
      </c>
      <c r="E53" s="37">
        <f>+CEILING(Lifestyle!BK53*Shepparton!N53,5)</f>
        <v>4650</v>
      </c>
      <c r="F53" s="38">
        <f>SUM(B53:E53)</f>
        <v>347785</v>
      </c>
      <c r="G53" s="37">
        <f>+CEILING(Lifestyle!BL53*Shepparton!O53,5)</f>
        <v>5440</v>
      </c>
      <c r="H53" s="20"/>
      <c r="I53" s="39">
        <f>+Lifestyle!BB53</f>
        <v>326222</v>
      </c>
      <c r="J53" s="21">
        <f t="shared" si="23"/>
        <v>0</v>
      </c>
      <c r="K53" s="21">
        <f>+Lifestyle!BD53</f>
        <v>3000</v>
      </c>
      <c r="L53" s="21">
        <f t="shared" si="23"/>
        <v>7000</v>
      </c>
      <c r="M53" s="21">
        <f t="shared" si="23"/>
        <v>103</v>
      </c>
      <c r="N53" s="21">
        <f t="shared" si="23"/>
        <v>60</v>
      </c>
      <c r="O53" s="21">
        <f t="shared" si="23"/>
        <v>85</v>
      </c>
    </row>
    <row r="54" spans="1:15" s="21" customFormat="1" ht="15.95" customHeight="1">
      <c r="A54" s="42" t="s">
        <v>45</v>
      </c>
      <c r="B54" s="35">
        <f t="shared" si="21"/>
        <v>333250</v>
      </c>
      <c r="C54" s="43">
        <f t="shared" si="22"/>
        <v>7000</v>
      </c>
      <c r="D54" s="37">
        <f>+CEILING(Lifestyle!BH54*Shepparton!M54,5)</f>
        <v>6835</v>
      </c>
      <c r="E54" s="37">
        <f>+CEILING(Lifestyle!BK54*Shepparton!N54,5)</f>
        <v>5030</v>
      </c>
      <c r="F54" s="38">
        <f>SUM(B54:E54)</f>
        <v>352115</v>
      </c>
      <c r="G54" s="37">
        <f>+CEILING(Lifestyle!BL54*Shepparton!O54,5)</f>
        <v>5440</v>
      </c>
      <c r="H54" s="20"/>
      <c r="I54" s="39">
        <f>+Lifestyle!BB54</f>
        <v>329246</v>
      </c>
      <c r="J54" s="21">
        <f t="shared" si="23"/>
        <v>0</v>
      </c>
      <c r="K54" s="21">
        <f>+Lifestyle!BD54</f>
        <v>4000</v>
      </c>
      <c r="L54" s="21">
        <f t="shared" si="23"/>
        <v>7000</v>
      </c>
      <c r="M54" s="21">
        <f t="shared" si="23"/>
        <v>103</v>
      </c>
      <c r="N54" s="21">
        <f t="shared" si="23"/>
        <v>60</v>
      </c>
      <c r="O54" s="21">
        <f t="shared" si="23"/>
        <v>85</v>
      </c>
    </row>
    <row r="55" spans="1:15" s="21" customFormat="1" ht="15.95" customHeight="1">
      <c r="A55" s="42" t="s">
        <v>46</v>
      </c>
      <c r="B55" s="35">
        <f t="shared" si="21"/>
        <v>376750</v>
      </c>
      <c r="C55" s="43">
        <f t="shared" si="22"/>
        <v>7000</v>
      </c>
      <c r="D55" s="37">
        <f>+CEILING(Lifestyle!BH55*Shepparton!M55,5)</f>
        <v>9030</v>
      </c>
      <c r="E55" s="37">
        <f>+CEILING(Lifestyle!BK55*Shepparton!N55,5)</f>
        <v>5385</v>
      </c>
      <c r="F55" s="38">
        <f>SUM(B55:E55)</f>
        <v>398165</v>
      </c>
      <c r="G55" s="37">
        <f>+CEILING(Lifestyle!BL55*Shepparton!O55,5)</f>
        <v>5440</v>
      </c>
      <c r="H55" s="20"/>
      <c r="I55" s="39">
        <f>+Lifestyle!BB55</f>
        <v>372749</v>
      </c>
      <c r="J55" s="21">
        <f t="shared" si="23"/>
        <v>0</v>
      </c>
      <c r="K55" s="21">
        <f>+Lifestyle!BD55</f>
        <v>4000</v>
      </c>
      <c r="L55" s="21">
        <f t="shared" si="23"/>
        <v>7000</v>
      </c>
      <c r="M55" s="21">
        <f t="shared" si="23"/>
        <v>103</v>
      </c>
      <c r="N55" s="21">
        <f t="shared" si="23"/>
        <v>60</v>
      </c>
      <c r="O55" s="21">
        <f t="shared" si="23"/>
        <v>85</v>
      </c>
    </row>
    <row r="56" spans="1:15" s="21" customFormat="1" ht="15.95" customHeight="1">
      <c r="A56" s="34" t="s">
        <v>47</v>
      </c>
      <c r="B56" s="35">
        <f t="shared" si="21"/>
        <v>327420</v>
      </c>
      <c r="C56" s="36">
        <f t="shared" si="22"/>
        <v>7000</v>
      </c>
      <c r="D56" s="37">
        <f>+CEILING(Lifestyle!BH56*Shepparton!M56,5)</f>
        <v>6225</v>
      </c>
      <c r="E56" s="37">
        <f>+CEILING(Lifestyle!BK56*Shepparton!N56,5)</f>
        <v>4555</v>
      </c>
      <c r="F56" s="38">
        <f t="shared" ref="F56:F83" si="24">SUM(B56:E56)</f>
        <v>345200</v>
      </c>
      <c r="G56" s="37">
        <f>+CEILING(Lifestyle!BL56*Shepparton!O56,5)</f>
        <v>4675</v>
      </c>
      <c r="H56" s="20"/>
      <c r="I56" s="39">
        <f>+Lifestyle!BB56</f>
        <v>323411</v>
      </c>
      <c r="J56" s="21">
        <f t="shared" si="23"/>
        <v>0</v>
      </c>
      <c r="K56" s="21">
        <f>+Lifestyle!BD56</f>
        <v>4000</v>
      </c>
      <c r="L56" s="21">
        <f t="shared" si="23"/>
        <v>7000</v>
      </c>
      <c r="M56" s="21">
        <f t="shared" si="23"/>
        <v>103</v>
      </c>
      <c r="N56" s="21">
        <f t="shared" si="23"/>
        <v>60</v>
      </c>
      <c r="O56" s="21">
        <f t="shared" si="23"/>
        <v>85</v>
      </c>
    </row>
    <row r="57" spans="1:15" s="21" customFormat="1" ht="15.95" customHeight="1">
      <c r="A57" s="42" t="s">
        <v>48</v>
      </c>
      <c r="B57" s="35">
        <f t="shared" si="21"/>
        <v>355880</v>
      </c>
      <c r="C57" s="43">
        <f t="shared" ref="C57:C83" si="25">+L57</f>
        <v>7000</v>
      </c>
      <c r="D57" s="37">
        <f>+CEILING(Lifestyle!BH57*Shepparton!M57,5)</f>
        <v>6815</v>
      </c>
      <c r="E57" s="37">
        <f>+CEILING(Lifestyle!BK57*Shepparton!N57,5)</f>
        <v>5595</v>
      </c>
      <c r="F57" s="38">
        <f t="shared" si="24"/>
        <v>375290</v>
      </c>
      <c r="G57" s="37">
        <f>+CEILING(Lifestyle!BL57*Shepparton!O57,5)</f>
        <v>5440</v>
      </c>
      <c r="H57" s="20"/>
      <c r="I57" s="39">
        <f>+Lifestyle!BB57</f>
        <v>351878</v>
      </c>
      <c r="J57" s="21">
        <f t="shared" ref="J57:J73" si="26">+J56</f>
        <v>0</v>
      </c>
      <c r="K57" s="21">
        <f>+Lifestyle!BD57</f>
        <v>4000</v>
      </c>
      <c r="L57" s="21">
        <f t="shared" ref="L57:O72" si="27">+L56</f>
        <v>7000</v>
      </c>
      <c r="M57" s="21">
        <f t="shared" si="27"/>
        <v>103</v>
      </c>
      <c r="N57" s="21">
        <f t="shared" si="27"/>
        <v>60</v>
      </c>
      <c r="O57" s="21">
        <f t="shared" si="27"/>
        <v>85</v>
      </c>
    </row>
    <row r="58" spans="1:15" s="21" customFormat="1" ht="15.95" customHeight="1">
      <c r="A58" s="42" t="s">
        <v>49</v>
      </c>
      <c r="B58" s="35">
        <f t="shared" si="21"/>
        <v>371630</v>
      </c>
      <c r="C58" s="43">
        <f t="shared" si="25"/>
        <v>7000</v>
      </c>
      <c r="D58" s="37">
        <f>+CEILING(Lifestyle!BH58*Shepparton!M58,5)</f>
        <v>7105</v>
      </c>
      <c r="E58" s="37">
        <f>+CEILING(Lifestyle!BK58*Shepparton!N58,5)</f>
        <v>6350</v>
      </c>
      <c r="F58" s="38">
        <f t="shared" si="24"/>
        <v>392085</v>
      </c>
      <c r="G58" s="37">
        <f>+CEILING(Lifestyle!BL58*Shepparton!O58,5)</f>
        <v>5950</v>
      </c>
      <c r="H58" s="20"/>
      <c r="I58" s="39">
        <f>+Lifestyle!BB58</f>
        <v>367624</v>
      </c>
      <c r="J58" s="21">
        <f t="shared" si="26"/>
        <v>0</v>
      </c>
      <c r="K58" s="21">
        <f>+Lifestyle!BD58</f>
        <v>4000</v>
      </c>
      <c r="L58" s="21">
        <f t="shared" si="27"/>
        <v>7000</v>
      </c>
      <c r="M58" s="21">
        <f t="shared" si="27"/>
        <v>103</v>
      </c>
      <c r="N58" s="21">
        <f t="shared" si="27"/>
        <v>60</v>
      </c>
      <c r="O58" s="21">
        <f t="shared" si="27"/>
        <v>85</v>
      </c>
    </row>
    <row r="59" spans="1:15" s="21" customFormat="1" ht="15.95" customHeight="1">
      <c r="A59" s="42" t="s">
        <v>50</v>
      </c>
      <c r="B59" s="35">
        <f t="shared" si="21"/>
        <v>324640</v>
      </c>
      <c r="C59" s="43">
        <f t="shared" si="25"/>
        <v>7000</v>
      </c>
      <c r="D59" s="37">
        <f>+CEILING(Lifestyle!BH59*Shepparton!M59,5)</f>
        <v>8450</v>
      </c>
      <c r="E59" s="37">
        <f>+CEILING(Lifestyle!BK59*Shepparton!N59,5)</f>
        <v>3460</v>
      </c>
      <c r="F59" s="38">
        <f t="shared" si="24"/>
        <v>343550</v>
      </c>
      <c r="G59" s="37">
        <f>+CEILING(Lifestyle!BL59*Shepparton!O59,5)</f>
        <v>4845</v>
      </c>
      <c r="H59" s="20"/>
      <c r="I59" s="39">
        <f>+Lifestyle!BB59</f>
        <v>321632</v>
      </c>
      <c r="J59" s="21">
        <f t="shared" si="26"/>
        <v>0</v>
      </c>
      <c r="K59" s="21">
        <f>+Lifestyle!BD59</f>
        <v>3000</v>
      </c>
      <c r="L59" s="21">
        <f t="shared" si="27"/>
        <v>7000</v>
      </c>
      <c r="M59" s="21">
        <f t="shared" si="27"/>
        <v>103</v>
      </c>
      <c r="N59" s="21">
        <f t="shared" si="27"/>
        <v>60</v>
      </c>
      <c r="O59" s="21">
        <f t="shared" si="27"/>
        <v>85</v>
      </c>
    </row>
    <row r="60" spans="1:15" s="21" customFormat="1" ht="15.95" customHeight="1">
      <c r="A60" s="42" t="s">
        <v>51</v>
      </c>
      <c r="B60" s="35">
        <f t="shared" si="21"/>
        <v>365750</v>
      </c>
      <c r="C60" s="43">
        <f t="shared" si="25"/>
        <v>7000</v>
      </c>
      <c r="D60" s="37">
        <f>+CEILING(Lifestyle!BH60*Shepparton!M60,5)</f>
        <v>9065</v>
      </c>
      <c r="E60" s="37">
        <f>+CEILING(Lifestyle!BK60*Shepparton!N60,5)</f>
        <v>5080</v>
      </c>
      <c r="F60" s="38">
        <f t="shared" si="24"/>
        <v>386895</v>
      </c>
      <c r="G60" s="37">
        <f>+CEILING(Lifestyle!BL60*Shepparton!O60,5)</f>
        <v>5270</v>
      </c>
      <c r="H60" s="20"/>
      <c r="I60" s="39">
        <f>+Lifestyle!BB60</f>
        <v>361749</v>
      </c>
      <c r="J60" s="21">
        <f t="shared" si="26"/>
        <v>0</v>
      </c>
      <c r="K60" s="21">
        <f>+Lifestyle!BD60</f>
        <v>4000</v>
      </c>
      <c r="L60" s="21">
        <f t="shared" si="27"/>
        <v>7000</v>
      </c>
      <c r="M60" s="21">
        <f t="shared" si="27"/>
        <v>103</v>
      </c>
      <c r="N60" s="21">
        <f t="shared" si="27"/>
        <v>60</v>
      </c>
      <c r="O60" s="21">
        <f t="shared" si="27"/>
        <v>85</v>
      </c>
    </row>
    <row r="61" spans="1:15" s="21" customFormat="1" ht="15.95" customHeight="1">
      <c r="A61" s="42" t="s">
        <v>52</v>
      </c>
      <c r="B61" s="35">
        <f t="shared" si="21"/>
        <v>397490</v>
      </c>
      <c r="C61" s="43">
        <f t="shared" si="25"/>
        <v>7000</v>
      </c>
      <c r="D61" s="37">
        <f>+CEILING(Lifestyle!BH61*Shepparton!M61,5)</f>
        <v>9455</v>
      </c>
      <c r="E61" s="37">
        <f>+CEILING(Lifestyle!BK61*Shepparton!N61,5)</f>
        <v>6610</v>
      </c>
      <c r="F61" s="38">
        <f t="shared" si="24"/>
        <v>420555</v>
      </c>
      <c r="G61" s="37">
        <f>+CEILING(Lifestyle!BL61*Shepparton!O61,5)</f>
        <v>6375</v>
      </c>
      <c r="H61" s="20"/>
      <c r="I61" s="39">
        <f>+Lifestyle!BB61</f>
        <v>393489</v>
      </c>
      <c r="J61" s="21">
        <f t="shared" si="26"/>
        <v>0</v>
      </c>
      <c r="K61" s="21">
        <f>+Lifestyle!BD61</f>
        <v>4000</v>
      </c>
      <c r="L61" s="21">
        <f t="shared" si="27"/>
        <v>7000</v>
      </c>
      <c r="M61" s="21">
        <f t="shared" si="27"/>
        <v>103</v>
      </c>
      <c r="N61" s="21">
        <f t="shared" si="27"/>
        <v>60</v>
      </c>
      <c r="O61" s="21">
        <f t="shared" si="27"/>
        <v>85</v>
      </c>
    </row>
    <row r="62" spans="1:15" s="21" customFormat="1" ht="15.95" customHeight="1">
      <c r="A62" s="42" t="s">
        <v>53</v>
      </c>
      <c r="B62" s="35">
        <f t="shared" si="21"/>
        <v>304080</v>
      </c>
      <c r="C62" s="43">
        <f t="shared" si="25"/>
        <v>7000</v>
      </c>
      <c r="D62" s="37">
        <f>+CEILING(Lifestyle!BH62*Shepparton!M62,5)</f>
        <v>6515</v>
      </c>
      <c r="E62" s="37">
        <f>+CEILING(Lifestyle!BK62*Shepparton!N62,5)</f>
        <v>3700</v>
      </c>
      <c r="F62" s="38">
        <f t="shared" si="24"/>
        <v>321295</v>
      </c>
      <c r="G62" s="37">
        <f>+CEILING(Lifestyle!BL62*Shepparton!O62,5)</f>
        <v>4930</v>
      </c>
      <c r="H62" s="20"/>
      <c r="I62" s="39">
        <f>+Lifestyle!BB62</f>
        <v>301071</v>
      </c>
      <c r="J62" s="21">
        <f t="shared" si="26"/>
        <v>0</v>
      </c>
      <c r="K62" s="21">
        <f>+Lifestyle!BD62</f>
        <v>3000</v>
      </c>
      <c r="L62" s="21">
        <f t="shared" si="27"/>
        <v>7000</v>
      </c>
      <c r="M62" s="21">
        <f t="shared" si="27"/>
        <v>103</v>
      </c>
      <c r="N62" s="21">
        <f t="shared" si="27"/>
        <v>60</v>
      </c>
      <c r="O62" s="21">
        <f t="shared" si="27"/>
        <v>85</v>
      </c>
    </row>
    <row r="63" spans="1:15" s="21" customFormat="1" ht="15.95" customHeight="1">
      <c r="A63" s="42" t="s">
        <v>54</v>
      </c>
      <c r="B63" s="35">
        <f t="shared" si="21"/>
        <v>314910</v>
      </c>
      <c r="C63" s="43">
        <f t="shared" si="25"/>
        <v>7000</v>
      </c>
      <c r="D63" s="37">
        <f>+CEILING(Lifestyle!BH63*Shepparton!M63,5)</f>
        <v>6460</v>
      </c>
      <c r="E63" s="37">
        <f>+CEILING(Lifestyle!BK63*Shepparton!N63,5)</f>
        <v>3770</v>
      </c>
      <c r="F63" s="38">
        <f t="shared" si="24"/>
        <v>332140</v>
      </c>
      <c r="G63" s="37">
        <f>+CEILING(Lifestyle!BL63*Shepparton!O63,5)</f>
        <v>5100</v>
      </c>
      <c r="H63" s="20"/>
      <c r="I63" s="39">
        <f>+Lifestyle!BB63</f>
        <v>311906</v>
      </c>
      <c r="J63" s="21">
        <f t="shared" si="26"/>
        <v>0</v>
      </c>
      <c r="K63" s="21">
        <f>+Lifestyle!BD63</f>
        <v>3000</v>
      </c>
      <c r="L63" s="21">
        <f t="shared" si="27"/>
        <v>7000</v>
      </c>
      <c r="M63" s="21">
        <f t="shared" si="27"/>
        <v>103</v>
      </c>
      <c r="N63" s="21">
        <f t="shared" si="27"/>
        <v>60</v>
      </c>
      <c r="O63" s="21">
        <f t="shared" si="27"/>
        <v>85</v>
      </c>
    </row>
    <row r="64" spans="1:15" s="21" customFormat="1" ht="15.95" customHeight="1">
      <c r="A64" s="42" t="s">
        <v>55</v>
      </c>
      <c r="B64" s="35">
        <f t="shared" si="21"/>
        <v>331780</v>
      </c>
      <c r="C64" s="43">
        <f t="shared" si="25"/>
        <v>7000</v>
      </c>
      <c r="D64" s="37">
        <f>+CEILING(Lifestyle!BH64*Shepparton!M64,5)</f>
        <v>7805</v>
      </c>
      <c r="E64" s="37">
        <f>+CEILING(Lifestyle!BK64*Shepparton!N64,5)</f>
        <v>4160</v>
      </c>
      <c r="F64" s="38">
        <f t="shared" si="24"/>
        <v>350745</v>
      </c>
      <c r="G64" s="37">
        <f>+CEILING(Lifestyle!BL64*Shepparton!O64,5)</f>
        <v>5610</v>
      </c>
      <c r="H64" s="20"/>
      <c r="I64" s="39">
        <f>+Lifestyle!BB64</f>
        <v>328771</v>
      </c>
      <c r="J64" s="21">
        <f t="shared" si="26"/>
        <v>0</v>
      </c>
      <c r="K64" s="21">
        <f>+Lifestyle!BD64</f>
        <v>3000</v>
      </c>
      <c r="L64" s="21">
        <f t="shared" si="27"/>
        <v>7000</v>
      </c>
      <c r="M64" s="21">
        <f t="shared" si="27"/>
        <v>103</v>
      </c>
      <c r="N64" s="21">
        <f t="shared" si="27"/>
        <v>60</v>
      </c>
      <c r="O64" s="21">
        <f t="shared" si="27"/>
        <v>85</v>
      </c>
    </row>
    <row r="65" spans="1:15" s="21" customFormat="1" ht="15.95" customHeight="1">
      <c r="A65" s="42" t="s">
        <v>56</v>
      </c>
      <c r="B65" s="35">
        <f t="shared" si="21"/>
        <v>293240</v>
      </c>
      <c r="C65" s="43">
        <f t="shared" si="25"/>
        <v>7000</v>
      </c>
      <c r="D65" s="37">
        <f>+CEILING(Lifestyle!BH65*Shepparton!M65,5)</f>
        <v>7230</v>
      </c>
      <c r="E65" s="37">
        <f>+CEILING(Lifestyle!BK65*Shepparton!N65,5)</f>
        <v>2495</v>
      </c>
      <c r="F65" s="38">
        <f t="shared" si="24"/>
        <v>309965</v>
      </c>
      <c r="G65" s="37">
        <f>+CEILING(Lifestyle!BL65*Shepparton!O65,5)</f>
        <v>4590</v>
      </c>
      <c r="H65" s="20"/>
      <c r="I65" s="39">
        <f>+Lifestyle!BB65</f>
        <v>290238</v>
      </c>
      <c r="J65" s="21">
        <f t="shared" si="26"/>
        <v>0</v>
      </c>
      <c r="K65" s="21">
        <f>+Lifestyle!BD65</f>
        <v>3000</v>
      </c>
      <c r="L65" s="21">
        <f t="shared" si="27"/>
        <v>7000</v>
      </c>
      <c r="M65" s="21">
        <f t="shared" si="27"/>
        <v>103</v>
      </c>
      <c r="N65" s="21">
        <f t="shared" si="27"/>
        <v>60</v>
      </c>
      <c r="O65" s="21">
        <f t="shared" si="27"/>
        <v>85</v>
      </c>
    </row>
    <row r="66" spans="1:15" s="21" customFormat="1" ht="15.95" customHeight="1">
      <c r="A66" s="42" t="s">
        <v>57</v>
      </c>
      <c r="B66" s="35">
        <f t="shared" si="21"/>
        <v>313250</v>
      </c>
      <c r="C66" s="43">
        <f t="shared" si="25"/>
        <v>7000</v>
      </c>
      <c r="D66" s="37">
        <f>+CEILING(Lifestyle!BH66*Shepparton!M66,5)</f>
        <v>9190</v>
      </c>
      <c r="E66" s="37">
        <f>+CEILING(Lifestyle!BK66*Shepparton!N66,5)</f>
        <v>2505</v>
      </c>
      <c r="F66" s="38">
        <f t="shared" si="24"/>
        <v>331945</v>
      </c>
      <c r="G66" s="37">
        <f>+CEILING(Lifestyle!BL66*Shepparton!O66,5)</f>
        <v>4930</v>
      </c>
      <c r="H66" s="20"/>
      <c r="I66" s="39">
        <f>+Lifestyle!BB66</f>
        <v>310250</v>
      </c>
      <c r="J66" s="21">
        <f t="shared" si="26"/>
        <v>0</v>
      </c>
      <c r="K66" s="21">
        <f>+Lifestyle!BD66</f>
        <v>3000</v>
      </c>
      <c r="L66" s="21">
        <f t="shared" si="27"/>
        <v>7000</v>
      </c>
      <c r="M66" s="21">
        <f t="shared" si="27"/>
        <v>103</v>
      </c>
      <c r="N66" s="21">
        <f t="shared" si="27"/>
        <v>60</v>
      </c>
      <c r="O66" s="21">
        <f t="shared" si="27"/>
        <v>85</v>
      </c>
    </row>
    <row r="67" spans="1:15" s="21" customFormat="1" ht="15.95" customHeight="1">
      <c r="A67" s="42" t="s">
        <v>58</v>
      </c>
      <c r="B67" s="35">
        <f t="shared" si="21"/>
        <v>326290</v>
      </c>
      <c r="C67" s="43">
        <f t="shared" si="25"/>
        <v>7000</v>
      </c>
      <c r="D67" s="37">
        <f>+CEILING(Lifestyle!BH67*Shepparton!M67,5)</f>
        <v>8965</v>
      </c>
      <c r="E67" s="37">
        <f>+CEILING(Lifestyle!BK67*Shepparton!N67,5)</f>
        <v>3200</v>
      </c>
      <c r="F67" s="38">
        <f t="shared" si="24"/>
        <v>345455</v>
      </c>
      <c r="G67" s="37">
        <f>+CEILING(Lifestyle!BL67*Shepparton!O67,5)</f>
        <v>5270</v>
      </c>
      <c r="H67" s="20"/>
      <c r="I67" s="39">
        <f>+Lifestyle!BB67</f>
        <v>323282</v>
      </c>
      <c r="J67" s="21">
        <f t="shared" si="26"/>
        <v>0</v>
      </c>
      <c r="K67" s="21">
        <f>+Lifestyle!BD67</f>
        <v>3000</v>
      </c>
      <c r="L67" s="21">
        <f t="shared" si="27"/>
        <v>7000</v>
      </c>
      <c r="M67" s="21">
        <f t="shared" si="27"/>
        <v>103</v>
      </c>
      <c r="N67" s="21">
        <f t="shared" si="27"/>
        <v>60</v>
      </c>
      <c r="O67" s="21">
        <f t="shared" si="27"/>
        <v>85</v>
      </c>
    </row>
    <row r="68" spans="1:15" s="21" customFormat="1" ht="15.95" customHeight="1">
      <c r="A68" s="42" t="s">
        <v>59</v>
      </c>
      <c r="B68" s="35">
        <f t="shared" si="21"/>
        <v>336270</v>
      </c>
      <c r="C68" s="43">
        <f t="shared" si="25"/>
        <v>7000</v>
      </c>
      <c r="D68" s="37">
        <f>+CEILING(Lifestyle!BH68*Shepparton!M68,5)</f>
        <v>8900</v>
      </c>
      <c r="E68" s="37">
        <f>+CEILING(Lifestyle!BK68*Shepparton!N68,5)</f>
        <v>3995</v>
      </c>
      <c r="F68" s="38">
        <f t="shared" si="24"/>
        <v>356165</v>
      </c>
      <c r="G68" s="37">
        <f>+CEILING(Lifestyle!BL68*Shepparton!O68,5)</f>
        <v>5355</v>
      </c>
      <c r="H68" s="20"/>
      <c r="I68" s="39">
        <f>+Lifestyle!BB68</f>
        <v>332270</v>
      </c>
      <c r="J68" s="21">
        <f t="shared" si="26"/>
        <v>0</v>
      </c>
      <c r="K68" s="21">
        <f>+Lifestyle!BD68</f>
        <v>4000</v>
      </c>
      <c r="L68" s="21">
        <f t="shared" si="27"/>
        <v>7000</v>
      </c>
      <c r="M68" s="21">
        <f t="shared" si="27"/>
        <v>103</v>
      </c>
      <c r="N68" s="21">
        <f t="shared" si="27"/>
        <v>60</v>
      </c>
      <c r="O68" s="21">
        <f t="shared" si="27"/>
        <v>85</v>
      </c>
    </row>
    <row r="69" spans="1:15" s="21" customFormat="1" ht="15.95" customHeight="1">
      <c r="A69" s="42" t="s">
        <v>60</v>
      </c>
      <c r="B69" s="35">
        <f t="shared" si="21"/>
        <v>368340</v>
      </c>
      <c r="C69" s="43">
        <f t="shared" si="25"/>
        <v>7000</v>
      </c>
      <c r="D69" s="37">
        <f>+CEILING(Lifestyle!BH69*Shepparton!M69,5)</f>
        <v>10705</v>
      </c>
      <c r="E69" s="37">
        <f>+CEILING(Lifestyle!BK69*Shepparton!N69,5)</f>
        <v>4775</v>
      </c>
      <c r="F69" s="38">
        <f t="shared" si="24"/>
        <v>390820</v>
      </c>
      <c r="G69" s="37">
        <f>+CEILING(Lifestyle!BL69*Shepparton!O69,5)</f>
        <v>5610</v>
      </c>
      <c r="H69" s="20"/>
      <c r="I69" s="39">
        <f>+Lifestyle!BB69</f>
        <v>364339</v>
      </c>
      <c r="J69" s="21">
        <f t="shared" si="26"/>
        <v>0</v>
      </c>
      <c r="K69" s="21">
        <f>+Lifestyle!BD69</f>
        <v>4000</v>
      </c>
      <c r="L69" s="21">
        <f t="shared" si="27"/>
        <v>7000</v>
      </c>
      <c r="M69" s="21">
        <f t="shared" si="27"/>
        <v>103</v>
      </c>
      <c r="N69" s="21">
        <f t="shared" si="27"/>
        <v>60</v>
      </c>
      <c r="O69" s="21">
        <f t="shared" si="27"/>
        <v>85</v>
      </c>
    </row>
    <row r="70" spans="1:15" s="21" customFormat="1" ht="15.95" customHeight="1">
      <c r="A70" s="42" t="s">
        <v>61</v>
      </c>
      <c r="B70" s="35">
        <f t="shared" si="21"/>
        <v>413170</v>
      </c>
      <c r="C70" s="43">
        <f t="shared" si="25"/>
        <v>7000</v>
      </c>
      <c r="D70" s="37">
        <f>+CEILING(Lifestyle!BH70*Shepparton!M70,5)</f>
        <v>14600</v>
      </c>
      <c r="E70" s="37">
        <f>+CEILING(Lifestyle!BK70*Shepparton!N70,5)</f>
        <v>5595</v>
      </c>
      <c r="F70" s="38">
        <f t="shared" si="24"/>
        <v>440365</v>
      </c>
      <c r="G70" s="37">
        <f>+CEILING(Lifestyle!BL70*Shepparton!O70,5)</f>
        <v>5865</v>
      </c>
      <c r="H70" s="20"/>
      <c r="I70" s="39">
        <f>+Lifestyle!BB70</f>
        <v>409165</v>
      </c>
      <c r="J70" s="21">
        <f t="shared" si="26"/>
        <v>0</v>
      </c>
      <c r="K70" s="21">
        <f>+Lifestyle!BD70</f>
        <v>4000</v>
      </c>
      <c r="L70" s="21">
        <f t="shared" si="27"/>
        <v>7000</v>
      </c>
      <c r="M70" s="21">
        <f t="shared" si="27"/>
        <v>103</v>
      </c>
      <c r="N70" s="21">
        <f t="shared" si="27"/>
        <v>60</v>
      </c>
      <c r="O70" s="21">
        <f t="shared" si="27"/>
        <v>85</v>
      </c>
    </row>
    <row r="71" spans="1:15" s="21" customFormat="1" ht="15.95" customHeight="1">
      <c r="A71" s="42" t="s">
        <v>62</v>
      </c>
      <c r="B71" s="35">
        <f t="shared" si="21"/>
        <v>322230</v>
      </c>
      <c r="C71" s="43">
        <f t="shared" si="25"/>
        <v>7000</v>
      </c>
      <c r="D71" s="37">
        <f>+CEILING(Lifestyle!BH71*Shepparton!M71,5)</f>
        <v>8190</v>
      </c>
      <c r="E71" s="37">
        <f>+CEILING(Lifestyle!BK71*Shepparton!N71,5)</f>
        <v>3825</v>
      </c>
      <c r="F71" s="38">
        <f t="shared" si="24"/>
        <v>341245</v>
      </c>
      <c r="G71" s="37">
        <f>+CEILING(Lifestyle!BL71*Shepparton!O71,5)</f>
        <v>4335</v>
      </c>
      <c r="H71" s="20"/>
      <c r="I71" s="39">
        <f>+Lifestyle!BB71</f>
        <v>319223</v>
      </c>
      <c r="J71" s="21">
        <f t="shared" si="26"/>
        <v>0</v>
      </c>
      <c r="K71" s="21">
        <f>+Lifestyle!BD71</f>
        <v>3000</v>
      </c>
      <c r="L71" s="21">
        <f t="shared" si="27"/>
        <v>7000</v>
      </c>
      <c r="M71" s="21">
        <f t="shared" si="27"/>
        <v>103</v>
      </c>
      <c r="N71" s="21">
        <f t="shared" si="27"/>
        <v>60</v>
      </c>
      <c r="O71" s="21">
        <f t="shared" si="27"/>
        <v>85</v>
      </c>
    </row>
    <row r="72" spans="1:15" s="21" customFormat="1" ht="15.95" customHeight="1">
      <c r="A72" s="42" t="s">
        <v>63</v>
      </c>
      <c r="B72" s="35">
        <f t="shared" si="21"/>
        <v>370290</v>
      </c>
      <c r="C72" s="43">
        <f t="shared" si="25"/>
        <v>7000</v>
      </c>
      <c r="D72" s="37">
        <f>+CEILING(Lifestyle!BH72*Shepparton!M72,5)</f>
        <v>9250</v>
      </c>
      <c r="E72" s="37">
        <f>+CEILING(Lifestyle!BK72*Shepparton!N72,5)</f>
        <v>4660</v>
      </c>
      <c r="F72" s="38">
        <f t="shared" si="24"/>
        <v>391200</v>
      </c>
      <c r="G72" s="37">
        <f>+CEILING(Lifestyle!BL72*Shepparton!O72,5)</f>
        <v>4930</v>
      </c>
      <c r="H72" s="20"/>
      <c r="I72" s="39">
        <f>+Lifestyle!BB72</f>
        <v>366288</v>
      </c>
      <c r="J72" s="21">
        <f t="shared" si="26"/>
        <v>0</v>
      </c>
      <c r="K72" s="21">
        <f>+Lifestyle!BD72</f>
        <v>4000</v>
      </c>
      <c r="L72" s="21">
        <f t="shared" si="27"/>
        <v>7000</v>
      </c>
      <c r="M72" s="21">
        <f t="shared" si="27"/>
        <v>103</v>
      </c>
      <c r="N72" s="21">
        <f t="shared" si="27"/>
        <v>60</v>
      </c>
      <c r="O72" s="21">
        <f t="shared" si="27"/>
        <v>85</v>
      </c>
    </row>
    <row r="73" spans="1:15" s="21" customFormat="1" ht="15.95" customHeight="1">
      <c r="A73" s="42" t="s">
        <v>64</v>
      </c>
      <c r="B73" s="35">
        <f t="shared" si="21"/>
        <v>402320</v>
      </c>
      <c r="C73" s="43">
        <f t="shared" si="25"/>
        <v>7000</v>
      </c>
      <c r="D73" s="37">
        <f>+CEILING(Lifestyle!BH73*Shepparton!M73,5)</f>
        <v>9090</v>
      </c>
      <c r="E73" s="37">
        <f>+CEILING(Lifestyle!BK73*Shepparton!N73,5)</f>
        <v>6920</v>
      </c>
      <c r="F73" s="38">
        <f t="shared" si="24"/>
        <v>425330</v>
      </c>
      <c r="G73" s="37">
        <f>+CEILING(Lifestyle!BL73*Shepparton!O73,5)</f>
        <v>5780</v>
      </c>
      <c r="H73" s="20"/>
      <c r="I73" s="39">
        <f>+Lifestyle!BB73</f>
        <v>398320</v>
      </c>
      <c r="J73" s="21">
        <f t="shared" si="26"/>
        <v>0</v>
      </c>
      <c r="K73" s="21">
        <f>+Lifestyle!BD73</f>
        <v>4000</v>
      </c>
      <c r="L73" s="21">
        <f>+L72</f>
        <v>7000</v>
      </c>
      <c r="M73" s="21">
        <f>+M72</f>
        <v>103</v>
      </c>
      <c r="N73" s="21">
        <f>+N72</f>
        <v>60</v>
      </c>
      <c r="O73" s="21">
        <f>+O72</f>
        <v>85</v>
      </c>
    </row>
    <row r="74" spans="1:15" s="21" customFormat="1" ht="15.95" customHeight="1">
      <c r="A74" s="42" t="s">
        <v>65</v>
      </c>
      <c r="B74" s="35">
        <f t="shared" si="21"/>
        <v>320890</v>
      </c>
      <c r="C74" s="43">
        <f t="shared" si="25"/>
        <v>7000</v>
      </c>
      <c r="D74" s="37">
        <f>+CEILING(Lifestyle!BH74*Shepparton!M74,5)</f>
        <v>7430</v>
      </c>
      <c r="E74" s="37">
        <f>+CEILING(Lifestyle!BK74*Shepparton!N74,5)</f>
        <v>4075</v>
      </c>
      <c r="F74" s="38">
        <f t="shared" si="24"/>
        <v>339395</v>
      </c>
      <c r="G74" s="37">
        <f>+CEILING(Lifestyle!BL74*Shepparton!O74,5)</f>
        <v>5355</v>
      </c>
      <c r="H74" s="20"/>
      <c r="I74" s="39">
        <f>+Lifestyle!BB74</f>
        <v>317884</v>
      </c>
      <c r="J74" s="21">
        <f t="shared" ref="J74:O82" si="28">+J73</f>
        <v>0</v>
      </c>
      <c r="K74" s="21">
        <f>+Lifestyle!BD74</f>
        <v>3000</v>
      </c>
      <c r="L74" s="21">
        <f t="shared" si="28"/>
        <v>7000</v>
      </c>
      <c r="M74" s="21">
        <f t="shared" si="28"/>
        <v>103</v>
      </c>
      <c r="N74" s="21">
        <f t="shared" si="28"/>
        <v>60</v>
      </c>
      <c r="O74" s="21">
        <f t="shared" si="28"/>
        <v>85</v>
      </c>
    </row>
    <row r="75" spans="1:15" s="21" customFormat="1" ht="15.95" customHeight="1">
      <c r="A75" s="42" t="s">
        <v>66</v>
      </c>
      <c r="B75" s="35">
        <f t="shared" si="21"/>
        <v>324850</v>
      </c>
      <c r="C75" s="43">
        <f t="shared" si="25"/>
        <v>7000</v>
      </c>
      <c r="D75" s="37">
        <f>+CEILING(Lifestyle!BH75*Shepparton!M75,5)</f>
        <v>7340</v>
      </c>
      <c r="E75" s="37">
        <f>+CEILING(Lifestyle!BK75*Shepparton!N75,5)</f>
        <v>4825</v>
      </c>
      <c r="F75" s="38">
        <f t="shared" si="24"/>
        <v>344015</v>
      </c>
      <c r="G75" s="37">
        <f>+CEILING(Lifestyle!BL75*Shepparton!O75,5)</f>
        <v>5355</v>
      </c>
      <c r="H75" s="20"/>
      <c r="I75" s="39">
        <f>+Lifestyle!BB75</f>
        <v>321842</v>
      </c>
      <c r="J75" s="21">
        <f t="shared" si="28"/>
        <v>0</v>
      </c>
      <c r="K75" s="21">
        <f>+Lifestyle!BD75</f>
        <v>3000</v>
      </c>
      <c r="L75" s="21">
        <f t="shared" si="28"/>
        <v>7000</v>
      </c>
      <c r="M75" s="21">
        <f t="shared" si="28"/>
        <v>103</v>
      </c>
      <c r="N75" s="21">
        <f t="shared" si="28"/>
        <v>60</v>
      </c>
      <c r="O75" s="21">
        <f t="shared" si="28"/>
        <v>85</v>
      </c>
    </row>
    <row r="76" spans="1:15" s="21" customFormat="1" ht="15.95" customHeight="1">
      <c r="A76" s="42" t="s">
        <v>67</v>
      </c>
      <c r="B76" s="35">
        <f t="shared" si="21"/>
        <v>344270</v>
      </c>
      <c r="C76" s="43">
        <f t="shared" si="25"/>
        <v>7000</v>
      </c>
      <c r="D76" s="37">
        <f>+CEILING(Lifestyle!BH76*Shepparton!M76,5)</f>
        <v>8445</v>
      </c>
      <c r="E76" s="37">
        <f>+CEILING(Lifestyle!BK76*Shepparton!N76,5)</f>
        <v>4355</v>
      </c>
      <c r="F76" s="38">
        <f t="shared" si="24"/>
        <v>364070</v>
      </c>
      <c r="G76" s="37">
        <f>+CEILING(Lifestyle!BL76*Shepparton!O76,5)</f>
        <v>5270</v>
      </c>
      <c r="H76" s="20"/>
      <c r="I76" s="39">
        <f>+Lifestyle!BB76</f>
        <v>340267</v>
      </c>
      <c r="J76" s="21">
        <f t="shared" si="28"/>
        <v>0</v>
      </c>
      <c r="K76" s="21">
        <f>+Lifestyle!BD76</f>
        <v>4000</v>
      </c>
      <c r="L76" s="21">
        <f t="shared" si="28"/>
        <v>7000</v>
      </c>
      <c r="M76" s="21">
        <f t="shared" si="28"/>
        <v>103</v>
      </c>
      <c r="N76" s="21">
        <f t="shared" si="28"/>
        <v>60</v>
      </c>
      <c r="O76" s="21">
        <f t="shared" si="28"/>
        <v>85</v>
      </c>
    </row>
    <row r="77" spans="1:15" s="21" customFormat="1" ht="15.95" customHeight="1">
      <c r="A77" s="42" t="s">
        <v>68</v>
      </c>
      <c r="B77" s="35">
        <f t="shared" si="21"/>
        <v>357060</v>
      </c>
      <c r="C77" s="43">
        <f t="shared" si="25"/>
        <v>7000</v>
      </c>
      <c r="D77" s="37">
        <f>+CEILING(Lifestyle!BH77*Shepparton!M77,5)</f>
        <v>8920</v>
      </c>
      <c r="E77" s="37">
        <f>+CEILING(Lifestyle!BK77*Shepparton!N77,5)</f>
        <v>5110</v>
      </c>
      <c r="F77" s="38">
        <f t="shared" si="24"/>
        <v>378090</v>
      </c>
      <c r="G77" s="37">
        <f>+CEILING(Lifestyle!BL77*Shepparton!O77,5)</f>
        <v>5355</v>
      </c>
      <c r="H77" s="20"/>
      <c r="I77" s="39">
        <f>+Lifestyle!BB77</f>
        <v>353051</v>
      </c>
      <c r="J77" s="21">
        <f t="shared" si="28"/>
        <v>0</v>
      </c>
      <c r="K77" s="21">
        <f>+Lifestyle!BD77</f>
        <v>4000</v>
      </c>
      <c r="L77" s="21">
        <f t="shared" si="28"/>
        <v>7000</v>
      </c>
      <c r="M77" s="21">
        <f t="shared" si="28"/>
        <v>103</v>
      </c>
      <c r="N77" s="21">
        <f t="shared" si="28"/>
        <v>60</v>
      </c>
      <c r="O77" s="21">
        <f t="shared" si="28"/>
        <v>85</v>
      </c>
    </row>
    <row r="78" spans="1:15" s="21" customFormat="1" ht="15.95" customHeight="1">
      <c r="A78" s="42" t="s">
        <v>69</v>
      </c>
      <c r="B78" s="35">
        <f t="shared" si="21"/>
        <v>369660</v>
      </c>
      <c r="C78" s="43">
        <f t="shared" si="25"/>
        <v>7000</v>
      </c>
      <c r="D78" s="37">
        <f>+CEILING(Lifestyle!BH78*Shepparton!M78,5)</f>
        <v>8200</v>
      </c>
      <c r="E78" s="37">
        <f>+CEILING(Lifestyle!BK78*Shepparton!N78,5)</f>
        <v>5700</v>
      </c>
      <c r="F78" s="38">
        <f t="shared" si="24"/>
        <v>390560</v>
      </c>
      <c r="G78" s="37">
        <f>+CEILING(Lifestyle!BL78*Shepparton!O78,5)</f>
        <v>5355</v>
      </c>
      <c r="H78" s="20"/>
      <c r="I78" s="39">
        <f>+Lifestyle!BB78</f>
        <v>365653</v>
      </c>
      <c r="J78" s="21">
        <f t="shared" si="28"/>
        <v>0</v>
      </c>
      <c r="K78" s="21">
        <f>+Lifestyle!BD78</f>
        <v>4000</v>
      </c>
      <c r="L78" s="21">
        <f t="shared" si="28"/>
        <v>7000</v>
      </c>
      <c r="M78" s="21">
        <f t="shared" si="28"/>
        <v>103</v>
      </c>
      <c r="N78" s="21">
        <f t="shared" si="28"/>
        <v>60</v>
      </c>
      <c r="O78" s="21">
        <f t="shared" si="28"/>
        <v>85</v>
      </c>
    </row>
    <row r="79" spans="1:15" s="21" customFormat="1" ht="15.95" customHeight="1">
      <c r="A79" s="42" t="s">
        <v>70</v>
      </c>
      <c r="B79" s="35">
        <f t="shared" si="21"/>
        <v>374230</v>
      </c>
      <c r="C79" s="43">
        <f t="shared" si="25"/>
        <v>7000</v>
      </c>
      <c r="D79" s="37">
        <f>+CEILING(Lifestyle!BH79*Shepparton!M79,5)</f>
        <v>8380</v>
      </c>
      <c r="E79" s="37">
        <f>+CEILING(Lifestyle!BK79*Shepparton!N79,5)</f>
        <v>5750</v>
      </c>
      <c r="F79" s="38">
        <f t="shared" si="24"/>
        <v>395360</v>
      </c>
      <c r="G79" s="37">
        <f>+CEILING(Lifestyle!BL79*Shepparton!O79,5)</f>
        <v>5610</v>
      </c>
      <c r="H79" s="20"/>
      <c r="I79" s="39">
        <f>+Lifestyle!BB79</f>
        <v>370224</v>
      </c>
      <c r="J79" s="21">
        <f t="shared" si="28"/>
        <v>0</v>
      </c>
      <c r="K79" s="21">
        <f>+Lifestyle!BD79</f>
        <v>4000</v>
      </c>
      <c r="L79" s="21">
        <f t="shared" si="28"/>
        <v>7000</v>
      </c>
      <c r="M79" s="21">
        <f t="shared" si="28"/>
        <v>103</v>
      </c>
      <c r="N79" s="21">
        <f t="shared" si="28"/>
        <v>60</v>
      </c>
      <c r="O79" s="21">
        <f t="shared" si="28"/>
        <v>85</v>
      </c>
    </row>
    <row r="80" spans="1:15" s="21" customFormat="1" ht="15.95" customHeight="1">
      <c r="A80" s="42" t="s">
        <v>71</v>
      </c>
      <c r="B80" s="35">
        <f t="shared" si="21"/>
        <v>288930</v>
      </c>
      <c r="C80" s="43">
        <f t="shared" si="25"/>
        <v>7000</v>
      </c>
      <c r="D80" s="37">
        <f>+CEILING(Lifestyle!BH80*Shepparton!M80,5)</f>
        <v>6200</v>
      </c>
      <c r="E80" s="37">
        <f>+CEILING(Lifestyle!BK80*Shepparton!N80,5)</f>
        <v>3795</v>
      </c>
      <c r="F80" s="38">
        <f t="shared" si="24"/>
        <v>305925</v>
      </c>
      <c r="G80" s="37">
        <f>+CEILING(Lifestyle!BL80*Shepparton!O80,5)</f>
        <v>4505</v>
      </c>
      <c r="H80" s="59"/>
      <c r="I80" s="39">
        <f>+Lifestyle!BB80</f>
        <v>285927</v>
      </c>
      <c r="J80" s="21">
        <f t="shared" si="28"/>
        <v>0</v>
      </c>
      <c r="K80" s="21">
        <f>+Lifestyle!BD80</f>
        <v>3000</v>
      </c>
      <c r="L80" s="21">
        <f t="shared" si="28"/>
        <v>7000</v>
      </c>
      <c r="M80" s="21">
        <f t="shared" si="28"/>
        <v>103</v>
      </c>
      <c r="N80" s="21">
        <f t="shared" si="28"/>
        <v>60</v>
      </c>
      <c r="O80" s="21">
        <f t="shared" si="28"/>
        <v>85</v>
      </c>
    </row>
    <row r="81" spans="1:15" s="21" customFormat="1" ht="15.95" customHeight="1">
      <c r="A81" s="42" t="s">
        <v>72</v>
      </c>
      <c r="B81" s="35">
        <f t="shared" si="21"/>
        <v>306870</v>
      </c>
      <c r="C81" s="43">
        <f t="shared" si="25"/>
        <v>7000</v>
      </c>
      <c r="D81" s="37">
        <f>+CEILING(Lifestyle!BH81*Shepparton!M81,5)</f>
        <v>6800</v>
      </c>
      <c r="E81" s="37">
        <f>+CEILING(Lifestyle!BK81*Shepparton!N81,5)</f>
        <v>4465</v>
      </c>
      <c r="F81" s="38">
        <f t="shared" si="24"/>
        <v>325135</v>
      </c>
      <c r="G81" s="37">
        <f>+CEILING(Lifestyle!BL81*Shepparton!O81,5)</f>
        <v>4930</v>
      </c>
      <c r="H81" s="59"/>
      <c r="I81" s="39">
        <f>+Lifestyle!BB81</f>
        <v>303864</v>
      </c>
      <c r="J81" s="21">
        <f t="shared" si="28"/>
        <v>0</v>
      </c>
      <c r="K81" s="21">
        <f>+Lifestyle!BD81</f>
        <v>3000</v>
      </c>
      <c r="L81" s="21">
        <f t="shared" si="28"/>
        <v>7000</v>
      </c>
      <c r="M81" s="21">
        <f t="shared" si="28"/>
        <v>103</v>
      </c>
      <c r="N81" s="21">
        <f t="shared" si="28"/>
        <v>60</v>
      </c>
      <c r="O81" s="21">
        <f t="shared" si="28"/>
        <v>85</v>
      </c>
    </row>
    <row r="82" spans="1:15" s="21" customFormat="1" ht="15.95" customHeight="1">
      <c r="A82" s="42" t="s">
        <v>73</v>
      </c>
      <c r="B82" s="35">
        <f t="shared" si="21"/>
        <v>323980</v>
      </c>
      <c r="C82" s="43">
        <f t="shared" si="25"/>
        <v>7000</v>
      </c>
      <c r="D82" s="37">
        <f>+CEILING(Lifestyle!BH82*Shepparton!M82,5)</f>
        <v>7420</v>
      </c>
      <c r="E82" s="37">
        <f>+CEILING(Lifestyle!BK82*Shepparton!N82,5)</f>
        <v>5000</v>
      </c>
      <c r="F82" s="38">
        <f t="shared" si="24"/>
        <v>343400</v>
      </c>
      <c r="G82" s="37">
        <f>+CEILING(Lifestyle!BL82*Shepparton!O82,5)</f>
        <v>4930</v>
      </c>
      <c r="H82" s="59"/>
      <c r="I82" s="39">
        <f>+Lifestyle!BB82</f>
        <v>319977</v>
      </c>
      <c r="J82" s="21">
        <f t="shared" si="28"/>
        <v>0</v>
      </c>
      <c r="K82" s="21">
        <f>+Lifestyle!BD82</f>
        <v>4000</v>
      </c>
      <c r="L82" s="21">
        <f t="shared" si="28"/>
        <v>7000</v>
      </c>
      <c r="M82" s="21">
        <f t="shared" si="28"/>
        <v>103</v>
      </c>
      <c r="N82" s="21">
        <f t="shared" si="28"/>
        <v>60</v>
      </c>
      <c r="O82" s="21">
        <f t="shared" si="28"/>
        <v>85</v>
      </c>
    </row>
    <row r="83" spans="1:15" s="21" customFormat="1" ht="15.95" customHeight="1">
      <c r="A83" s="42" t="s">
        <v>74</v>
      </c>
      <c r="B83" s="35">
        <f t="shared" si="21"/>
        <v>340030</v>
      </c>
      <c r="C83" s="43">
        <f t="shared" si="25"/>
        <v>7000</v>
      </c>
      <c r="D83" s="37">
        <f>+CEILING(Lifestyle!BH83*Shepparton!M83,5)</f>
        <v>7610</v>
      </c>
      <c r="E83" s="37">
        <f>+CEILING(Lifestyle!BK83*Shepparton!N83,5)</f>
        <v>4700</v>
      </c>
      <c r="F83" s="38">
        <f t="shared" si="24"/>
        <v>359340</v>
      </c>
      <c r="G83" s="37">
        <f>+CEILING(Lifestyle!BL83*Shepparton!O83,5)</f>
        <v>5270</v>
      </c>
      <c r="H83" s="59"/>
      <c r="I83" s="39">
        <f>+Lifestyle!BB83</f>
        <v>336030</v>
      </c>
      <c r="J83" s="21">
        <f>+J81</f>
        <v>0</v>
      </c>
      <c r="K83" s="21">
        <f>+Lifestyle!BD83</f>
        <v>4000</v>
      </c>
      <c r="L83" s="21">
        <f>+L81</f>
        <v>7000</v>
      </c>
      <c r="M83" s="21">
        <f>+M81</f>
        <v>103</v>
      </c>
      <c r="N83" s="21">
        <f>+N81</f>
        <v>60</v>
      </c>
      <c r="O83" s="21">
        <f>+O81</f>
        <v>85</v>
      </c>
    </row>
    <row r="84" spans="1:15" s="21" customFormat="1" ht="6" customHeight="1" thickBot="1">
      <c r="C84" s="44"/>
      <c r="D84" s="44"/>
      <c r="E84" s="44"/>
      <c r="F84" s="60"/>
      <c r="G84" s="45"/>
      <c r="H84" s="20"/>
      <c r="L84" s="39"/>
    </row>
    <row r="85" spans="1:15" s="21" customFormat="1" ht="15.75">
      <c r="A85" s="46" t="s">
        <v>187</v>
      </c>
      <c r="B85" s="47"/>
      <c r="C85" s="44"/>
      <c r="D85" s="44"/>
      <c r="E85" s="48" t="s">
        <v>188</v>
      </c>
      <c r="F85" s="49"/>
      <c r="G85" s="50"/>
      <c r="H85" s="20"/>
      <c r="L85" s="39"/>
    </row>
    <row r="86" spans="1:15" s="21" customFormat="1" ht="15">
      <c r="A86" s="51" t="s">
        <v>189</v>
      </c>
      <c r="B86" s="52"/>
      <c r="C86" s="44"/>
      <c r="D86" s="44"/>
      <c r="E86" s="53" t="s">
        <v>190</v>
      </c>
      <c r="G86" s="22"/>
      <c r="H86" s="20"/>
      <c r="L86" s="39"/>
    </row>
    <row r="87" spans="1:15" s="21" customFormat="1" ht="15">
      <c r="A87" s="51" t="s">
        <v>191</v>
      </c>
      <c r="B87" s="52"/>
      <c r="C87" s="44"/>
      <c r="D87" s="44"/>
      <c r="E87" s="53" t="s">
        <v>192</v>
      </c>
      <c r="G87" s="22"/>
      <c r="H87" s="20"/>
      <c r="L87" s="39"/>
    </row>
    <row r="88" spans="1:15" s="21" customFormat="1" ht="15">
      <c r="A88" s="51" t="s">
        <v>193</v>
      </c>
      <c r="B88" s="52"/>
      <c r="C88" s="44"/>
      <c r="D88" s="44"/>
      <c r="E88" s="53" t="s">
        <v>194</v>
      </c>
      <c r="G88" s="22"/>
      <c r="H88" s="20"/>
      <c r="L88" s="39"/>
    </row>
    <row r="89" spans="1:15" s="21" customFormat="1" ht="15">
      <c r="A89" s="51" t="s">
        <v>195</v>
      </c>
      <c r="B89" s="52"/>
      <c r="C89" s="44"/>
      <c r="D89" s="44"/>
      <c r="E89" s="53" t="s">
        <v>196</v>
      </c>
      <c r="G89" s="22"/>
      <c r="H89" s="20"/>
      <c r="L89" s="39"/>
    </row>
    <row r="90" spans="1:15" s="21" customFormat="1" ht="15">
      <c r="A90" s="51"/>
      <c r="B90" s="52"/>
      <c r="C90" s="44"/>
      <c r="D90" s="44"/>
      <c r="E90" s="53" t="s">
        <v>197</v>
      </c>
      <c r="G90" s="22"/>
      <c r="H90" s="20"/>
      <c r="L90" s="39"/>
    </row>
    <row r="91" spans="1:15" s="21" customFormat="1" ht="15.75" thickBot="1">
      <c r="A91" s="54"/>
      <c r="B91" s="55"/>
      <c r="C91" s="44"/>
      <c r="D91" s="44"/>
      <c r="E91" s="56" t="s">
        <v>198</v>
      </c>
      <c r="F91" s="57"/>
      <c r="G91" s="58"/>
      <c r="H91" s="20"/>
      <c r="L91" s="39"/>
    </row>
    <row r="92" spans="1:15" s="21" customFormat="1" ht="21" customHeight="1">
      <c r="A92" s="722" t="s">
        <v>174</v>
      </c>
      <c r="B92" s="722"/>
      <c r="C92" s="722"/>
      <c r="D92" s="722"/>
      <c r="E92" s="722"/>
      <c r="F92" s="722"/>
      <c r="G92" s="722"/>
      <c r="H92" s="20"/>
    </row>
    <row r="93" spans="1:15" s="21" customFormat="1" ht="21" customHeight="1" thickBot="1">
      <c r="A93" s="23" t="s">
        <v>1630</v>
      </c>
      <c r="F93" s="24"/>
      <c r="G93" s="25"/>
      <c r="H93" s="20"/>
    </row>
    <row r="94" spans="1:15" s="21" customFormat="1" ht="91.5" customHeight="1" thickBot="1">
      <c r="A94" s="26" t="s">
        <v>175</v>
      </c>
      <c r="B94" s="27" t="s">
        <v>176</v>
      </c>
      <c r="C94" s="28" t="s">
        <v>177</v>
      </c>
      <c r="D94" s="28" t="s">
        <v>178</v>
      </c>
      <c r="E94" s="61" t="s">
        <v>179</v>
      </c>
      <c r="F94" s="29" t="s">
        <v>180</v>
      </c>
      <c r="G94" s="28" t="s">
        <v>181</v>
      </c>
      <c r="H94" s="30"/>
      <c r="I94" s="31" t="s">
        <v>13</v>
      </c>
      <c r="J94" s="32" t="s">
        <v>182</v>
      </c>
      <c r="K94" s="32"/>
      <c r="L94" s="33" t="s">
        <v>183</v>
      </c>
      <c r="M94" s="33" t="s">
        <v>184</v>
      </c>
      <c r="N94" s="33" t="s">
        <v>185</v>
      </c>
      <c r="O94" s="33" t="s">
        <v>186</v>
      </c>
    </row>
    <row r="95" spans="1:15" s="21" customFormat="1" ht="18" customHeight="1">
      <c r="A95" s="42" t="s">
        <v>76</v>
      </c>
      <c r="B95" s="35">
        <f t="shared" ref="B95:B116" si="29">+CEILING(I95+J95+K95,10)</f>
        <v>324260</v>
      </c>
      <c r="C95" s="43">
        <f>+L95</f>
        <v>7000</v>
      </c>
      <c r="D95" s="62">
        <f>CEILING(Lifestyle!BH86*Shepparton!M95,5)</f>
        <v>6940</v>
      </c>
      <c r="E95" s="62">
        <f>CEILING(Lifestyle!BK86*Shepparton!N95,5)</f>
        <v>4270</v>
      </c>
      <c r="F95" s="38">
        <f>SUM(B95:E95)</f>
        <v>342470</v>
      </c>
      <c r="G95" s="62">
        <f>CEILING(Lifestyle!BL86*Shepparton!O95,5)</f>
        <v>5015</v>
      </c>
      <c r="H95" s="20"/>
      <c r="I95" s="39">
        <f>+Lifestyle!BB86</f>
        <v>321256</v>
      </c>
      <c r="J95" s="21">
        <f>+J81</f>
        <v>0</v>
      </c>
      <c r="K95" s="21">
        <f>+Lifestyle!BD86</f>
        <v>3000</v>
      </c>
      <c r="L95" s="21">
        <f>+L81</f>
        <v>7000</v>
      </c>
      <c r="M95" s="21">
        <f>+M81</f>
        <v>103</v>
      </c>
      <c r="N95" s="21">
        <f>+N81</f>
        <v>60</v>
      </c>
      <c r="O95" s="21">
        <f>+O81</f>
        <v>85</v>
      </c>
    </row>
    <row r="96" spans="1:15" s="21" customFormat="1" ht="18" customHeight="1">
      <c r="A96" s="42" t="s">
        <v>77</v>
      </c>
      <c r="B96" s="35">
        <f t="shared" si="29"/>
        <v>349320</v>
      </c>
      <c r="C96" s="43">
        <f>+L96</f>
        <v>7000</v>
      </c>
      <c r="D96" s="62">
        <f>CEILING(Lifestyle!BH87*Shepparton!M96,5)</f>
        <v>7615</v>
      </c>
      <c r="E96" s="62">
        <f>CEILING(Lifestyle!BK87*Shepparton!N96,5)</f>
        <v>4880</v>
      </c>
      <c r="F96" s="38">
        <f>SUM(B96:E96)</f>
        <v>368815</v>
      </c>
      <c r="G96" s="62">
        <f>CEILING(Lifestyle!BL87*Shepparton!O96,5)</f>
        <v>5780</v>
      </c>
      <c r="H96" s="20"/>
      <c r="I96" s="39">
        <f>+Lifestyle!BB87</f>
        <v>345313</v>
      </c>
      <c r="J96" s="21">
        <f>+J95</f>
        <v>0</v>
      </c>
      <c r="K96" s="21">
        <f>+Lifestyle!BD87</f>
        <v>4000</v>
      </c>
      <c r="L96" s="21">
        <f>+L95</f>
        <v>7000</v>
      </c>
      <c r="M96" s="21">
        <f>+M95</f>
        <v>103</v>
      </c>
      <c r="N96" s="21">
        <f>+N95</f>
        <v>60</v>
      </c>
      <c r="O96" s="21">
        <f>+O95</f>
        <v>85</v>
      </c>
    </row>
    <row r="97" spans="1:15" s="21" customFormat="1" ht="18" customHeight="1">
      <c r="A97" s="42" t="s">
        <v>78</v>
      </c>
      <c r="B97" s="35">
        <f t="shared" si="29"/>
        <v>368950</v>
      </c>
      <c r="C97" s="43">
        <f>+L97</f>
        <v>7000</v>
      </c>
      <c r="D97" s="62">
        <f>CEILING(Lifestyle!BH88*Shepparton!M97,5)</f>
        <v>8615</v>
      </c>
      <c r="E97" s="62">
        <f>CEILING(Lifestyle!BK88*Shepparton!N97,5)</f>
        <v>5340</v>
      </c>
      <c r="F97" s="38">
        <f>SUM(B97:E97)</f>
        <v>389905</v>
      </c>
      <c r="G97" s="62">
        <f>CEILING(Lifestyle!BL88*Shepparton!O97,5)</f>
        <v>5865</v>
      </c>
      <c r="H97" s="20"/>
      <c r="I97" s="39">
        <f>+Lifestyle!BB88</f>
        <v>364949</v>
      </c>
      <c r="J97" s="21">
        <f t="shared" ref="J97:N116" si="30">+J96</f>
        <v>0</v>
      </c>
      <c r="K97" s="21">
        <f>+Lifestyle!BD88</f>
        <v>4000</v>
      </c>
      <c r="L97" s="21">
        <f t="shared" si="30"/>
        <v>7000</v>
      </c>
      <c r="M97" s="21">
        <f t="shared" si="30"/>
        <v>103</v>
      </c>
      <c r="N97" s="21">
        <f t="shared" si="30"/>
        <v>60</v>
      </c>
      <c r="O97" s="21">
        <f>+O83</f>
        <v>85</v>
      </c>
    </row>
    <row r="98" spans="1:15" s="21" customFormat="1" ht="18" customHeight="1">
      <c r="A98" s="42" t="s">
        <v>79</v>
      </c>
      <c r="B98" s="35">
        <f t="shared" si="29"/>
        <v>387200</v>
      </c>
      <c r="C98" s="43">
        <f t="shared" ref="C98:C116" si="31">+L98</f>
        <v>7000</v>
      </c>
      <c r="D98" s="62">
        <f>CEILING(Lifestyle!BH89*Shepparton!M98,5)</f>
        <v>8515</v>
      </c>
      <c r="E98" s="62">
        <f>CEILING(Lifestyle!BK89*Shepparton!N98,5)</f>
        <v>6025</v>
      </c>
      <c r="F98" s="38">
        <f t="shared" ref="F98:F116" si="32">SUM(B98:E98)</f>
        <v>408740</v>
      </c>
      <c r="G98" s="62">
        <f>CEILING(Lifestyle!BL89*Shepparton!O98,5)</f>
        <v>6460</v>
      </c>
      <c r="H98" s="20"/>
      <c r="I98" s="39">
        <f>+Lifestyle!BB89</f>
        <v>383191</v>
      </c>
      <c r="J98" s="21">
        <f t="shared" si="30"/>
        <v>0</v>
      </c>
      <c r="K98" s="21">
        <f>+Lifestyle!BD89</f>
        <v>4000</v>
      </c>
      <c r="L98" s="21">
        <f t="shared" si="30"/>
        <v>7000</v>
      </c>
      <c r="M98" s="21">
        <f t="shared" si="30"/>
        <v>103</v>
      </c>
      <c r="N98" s="21">
        <f t="shared" si="30"/>
        <v>60</v>
      </c>
      <c r="O98" s="21">
        <f>+O97</f>
        <v>85</v>
      </c>
    </row>
    <row r="99" spans="1:15" s="21" customFormat="1" ht="18" customHeight="1">
      <c r="A99" s="42" t="s">
        <v>80</v>
      </c>
      <c r="B99" s="35">
        <f t="shared" si="29"/>
        <v>406410</v>
      </c>
      <c r="C99" s="43">
        <f t="shared" si="31"/>
        <v>7000</v>
      </c>
      <c r="D99" s="62">
        <f>CEILING(Lifestyle!BH90*Shepparton!M99,5)</f>
        <v>9045</v>
      </c>
      <c r="E99" s="62">
        <f>CEILING(Lifestyle!BK90*Shepparton!N99,5)</f>
        <v>7265</v>
      </c>
      <c r="F99" s="38">
        <f t="shared" si="32"/>
        <v>429720</v>
      </c>
      <c r="G99" s="62">
        <f>CEILING(Lifestyle!BL90*Shepparton!O99,5)</f>
        <v>7055</v>
      </c>
      <c r="H99" s="20"/>
      <c r="I99" s="39">
        <f>+Lifestyle!BB90</f>
        <v>402402</v>
      </c>
      <c r="J99" s="21">
        <f t="shared" si="30"/>
        <v>0</v>
      </c>
      <c r="K99" s="21">
        <f>+Lifestyle!BD90</f>
        <v>4000</v>
      </c>
      <c r="L99" s="21">
        <f t="shared" si="30"/>
        <v>7000</v>
      </c>
      <c r="M99" s="21">
        <f t="shared" si="30"/>
        <v>103</v>
      </c>
      <c r="N99" s="21">
        <f t="shared" si="30"/>
        <v>60</v>
      </c>
      <c r="O99" s="21">
        <f>+O98</f>
        <v>85</v>
      </c>
    </row>
    <row r="100" spans="1:15" s="21" customFormat="1" ht="18" customHeight="1">
      <c r="A100" s="42" t="s">
        <v>1151</v>
      </c>
      <c r="B100" s="35">
        <f t="shared" si="29"/>
        <v>425550</v>
      </c>
      <c r="C100" s="43">
        <f t="shared" si="31"/>
        <v>7000</v>
      </c>
      <c r="D100" s="62">
        <f>CEILING(Lifestyle!BH91*Shepparton!M100,5)</f>
        <v>9030</v>
      </c>
      <c r="E100" s="62">
        <f>CEILING(Lifestyle!BK91*Shepparton!N100,5)</f>
        <v>7055</v>
      </c>
      <c r="F100" s="38">
        <f>SUM(B100:E100)</f>
        <v>448635</v>
      </c>
      <c r="G100" s="62">
        <f>CEILING(Lifestyle!BL91*Shepparton!O100,5)</f>
        <v>7055</v>
      </c>
      <c r="H100" s="20"/>
      <c r="I100" s="39">
        <f>+Lifestyle!BB91</f>
        <v>421545</v>
      </c>
      <c r="J100" s="21">
        <f t="shared" si="30"/>
        <v>0</v>
      </c>
      <c r="K100" s="21">
        <f>+Lifestyle!BD91</f>
        <v>4000</v>
      </c>
      <c r="L100" s="21">
        <f t="shared" si="30"/>
        <v>7000</v>
      </c>
      <c r="M100" s="21">
        <f t="shared" si="30"/>
        <v>103</v>
      </c>
      <c r="N100" s="21">
        <f t="shared" si="30"/>
        <v>60</v>
      </c>
      <c r="O100" s="21">
        <f>+O99</f>
        <v>85</v>
      </c>
    </row>
    <row r="101" spans="1:15" s="21" customFormat="1" ht="18" customHeight="1">
      <c r="A101" s="42" t="s">
        <v>81</v>
      </c>
      <c r="B101" s="35">
        <f t="shared" si="29"/>
        <v>443180</v>
      </c>
      <c r="C101" s="43">
        <f t="shared" si="31"/>
        <v>7000</v>
      </c>
      <c r="D101" s="62">
        <f>CEILING(Lifestyle!BH92*Shepparton!M101,5)</f>
        <v>9185</v>
      </c>
      <c r="E101" s="62">
        <f>CEILING(Lifestyle!BK92*Shepparton!N101,5)</f>
        <v>7570</v>
      </c>
      <c r="F101" s="38">
        <f t="shared" si="32"/>
        <v>466935</v>
      </c>
      <c r="G101" s="62">
        <f>CEILING(Lifestyle!BL92*Shepparton!O101,5)</f>
        <v>7055</v>
      </c>
      <c r="H101" s="20"/>
      <c r="I101" s="39">
        <f>+Lifestyle!BB92</f>
        <v>439175</v>
      </c>
      <c r="J101" s="21">
        <f t="shared" si="30"/>
        <v>0</v>
      </c>
      <c r="K101" s="21">
        <f>+Lifestyle!BD92</f>
        <v>4000</v>
      </c>
      <c r="L101" s="21">
        <f t="shared" si="30"/>
        <v>7000</v>
      </c>
      <c r="M101" s="21">
        <f t="shared" si="30"/>
        <v>103</v>
      </c>
      <c r="N101" s="21">
        <f t="shared" si="30"/>
        <v>60</v>
      </c>
      <c r="O101" s="21">
        <f>+O99</f>
        <v>85</v>
      </c>
    </row>
    <row r="102" spans="1:15" s="21" customFormat="1" ht="18" customHeight="1">
      <c r="A102" s="42" t="s">
        <v>1365</v>
      </c>
      <c r="B102" s="35">
        <f t="shared" si="29"/>
        <v>313120</v>
      </c>
      <c r="C102" s="43">
        <f t="shared" ref="C102" si="33">+L102</f>
        <v>7000</v>
      </c>
      <c r="D102" s="62">
        <f>CEILING(Lifestyle!BH93*Shepparton!M102,5)</f>
        <v>7165</v>
      </c>
      <c r="E102" s="62">
        <f>CEILING(Lifestyle!BK93*Shepparton!N102,5)</f>
        <v>3960</v>
      </c>
      <c r="F102" s="38">
        <f t="shared" ref="F102:F103" si="34">SUM(B102:E102)</f>
        <v>331245</v>
      </c>
      <c r="G102" s="62">
        <f>CEILING(Lifestyle!BL93*Shepparton!O102,5)</f>
        <v>4505</v>
      </c>
      <c r="H102" s="20"/>
      <c r="I102" s="39">
        <f>+Lifestyle!BB93</f>
        <v>310120</v>
      </c>
      <c r="J102" s="21">
        <f t="shared" si="30"/>
        <v>0</v>
      </c>
      <c r="K102" s="21">
        <f>+Lifestyle!BD93</f>
        <v>3000</v>
      </c>
      <c r="L102" s="21">
        <f t="shared" si="30"/>
        <v>7000</v>
      </c>
      <c r="M102" s="21">
        <f t="shared" si="30"/>
        <v>103</v>
      </c>
      <c r="N102" s="21">
        <f t="shared" si="30"/>
        <v>60</v>
      </c>
      <c r="O102" s="21">
        <f>+O100</f>
        <v>85</v>
      </c>
    </row>
    <row r="103" spans="1:15" s="21" customFormat="1" ht="18" customHeight="1">
      <c r="A103" s="42" t="s">
        <v>82</v>
      </c>
      <c r="B103" s="35">
        <f t="shared" si="29"/>
        <v>352270</v>
      </c>
      <c r="C103" s="43">
        <f t="shared" si="31"/>
        <v>7000</v>
      </c>
      <c r="D103" s="62">
        <f>CEILING(Lifestyle!BH94*Shepparton!M103,5)</f>
        <v>8585</v>
      </c>
      <c r="E103" s="62">
        <f>CEILING(Lifestyle!BK94*Shepparton!N103,5)</f>
        <v>4615</v>
      </c>
      <c r="F103" s="38">
        <f t="shared" si="34"/>
        <v>372470</v>
      </c>
      <c r="G103" s="62">
        <f>CEILING(Lifestyle!BL94*Shepparton!O103,5)</f>
        <v>4590</v>
      </c>
      <c r="H103" s="20"/>
      <c r="I103" s="39">
        <f>+Lifestyle!BB94</f>
        <v>348261</v>
      </c>
      <c r="J103" s="21">
        <f t="shared" si="30"/>
        <v>0</v>
      </c>
      <c r="K103" s="21">
        <f>+Lifestyle!BD94</f>
        <v>4000</v>
      </c>
      <c r="L103" s="21">
        <f t="shared" si="30"/>
        <v>7000</v>
      </c>
      <c r="M103" s="21">
        <f t="shared" si="30"/>
        <v>103</v>
      </c>
      <c r="N103" s="21">
        <f t="shared" si="30"/>
        <v>60</v>
      </c>
      <c r="O103" s="21">
        <f>+O101</f>
        <v>85</v>
      </c>
    </row>
    <row r="104" spans="1:15" s="21" customFormat="1" ht="18" customHeight="1">
      <c r="A104" s="42" t="s">
        <v>1435</v>
      </c>
      <c r="B104" s="35">
        <f t="shared" si="29"/>
        <v>413150</v>
      </c>
      <c r="C104" s="43">
        <f t="shared" ref="C104:C105" si="35">+L104</f>
        <v>7000</v>
      </c>
      <c r="D104" s="62">
        <f>CEILING(Lifestyle!BH95*Shepparton!M104,5)</f>
        <v>10300</v>
      </c>
      <c r="E104" s="62">
        <f>CEILING(Lifestyle!BK95*Shepparton!N104,5)</f>
        <v>5940</v>
      </c>
      <c r="F104" s="38">
        <f t="shared" ref="F104:F105" si="36">SUM(B104:E104)</f>
        <v>436390</v>
      </c>
      <c r="G104" s="62">
        <f>CEILING(Lifestyle!BL95*Shepparton!O104,5)</f>
        <v>6460</v>
      </c>
      <c r="H104" s="20"/>
      <c r="I104" s="39">
        <f>+Lifestyle!BB95</f>
        <v>409141</v>
      </c>
      <c r="J104" s="21">
        <f t="shared" ref="J104:N104" si="37">+J103</f>
        <v>0</v>
      </c>
      <c r="K104" s="21">
        <f>+Lifestyle!BD95</f>
        <v>4000</v>
      </c>
      <c r="L104" s="21">
        <f t="shared" si="37"/>
        <v>7000</v>
      </c>
      <c r="M104" s="21">
        <f t="shared" si="37"/>
        <v>103</v>
      </c>
      <c r="N104" s="21">
        <f t="shared" si="37"/>
        <v>60</v>
      </c>
      <c r="O104" s="21">
        <f t="shared" ref="O104:O105" si="38">+O102</f>
        <v>85</v>
      </c>
    </row>
    <row r="105" spans="1:15" s="21" customFormat="1" ht="18" customHeight="1">
      <c r="A105" s="42" t="s">
        <v>83</v>
      </c>
      <c r="B105" s="35">
        <f t="shared" si="29"/>
        <v>359920</v>
      </c>
      <c r="C105" s="43">
        <f t="shared" si="35"/>
        <v>7000</v>
      </c>
      <c r="D105" s="62">
        <f>CEILING(Lifestyle!BH96*Shepparton!M105,5)</f>
        <v>7965</v>
      </c>
      <c r="E105" s="62">
        <f>CEILING(Lifestyle!BK96*Shepparton!N105,5)</f>
        <v>5120</v>
      </c>
      <c r="F105" s="38">
        <f t="shared" si="36"/>
        <v>380005</v>
      </c>
      <c r="G105" s="62">
        <f>CEILING(Lifestyle!BL96*Shepparton!O105,5)</f>
        <v>5440</v>
      </c>
      <c r="H105" s="20"/>
      <c r="I105" s="39">
        <f>+Lifestyle!BB96</f>
        <v>355920</v>
      </c>
      <c r="J105" s="21">
        <f t="shared" ref="J105:N105" si="39">+J104</f>
        <v>0</v>
      </c>
      <c r="K105" s="21">
        <f>+Lifestyle!BD96</f>
        <v>4000</v>
      </c>
      <c r="L105" s="21">
        <f t="shared" si="39"/>
        <v>7000</v>
      </c>
      <c r="M105" s="21">
        <f t="shared" si="39"/>
        <v>103</v>
      </c>
      <c r="N105" s="21">
        <f t="shared" si="39"/>
        <v>60</v>
      </c>
      <c r="O105" s="21">
        <f t="shared" si="38"/>
        <v>85</v>
      </c>
    </row>
    <row r="106" spans="1:15" s="21" customFormat="1" ht="18" customHeight="1">
      <c r="A106" s="42" t="s">
        <v>84</v>
      </c>
      <c r="B106" s="35">
        <f t="shared" si="29"/>
        <v>412420</v>
      </c>
      <c r="C106" s="43">
        <f t="shared" si="31"/>
        <v>7000</v>
      </c>
      <c r="D106" s="62">
        <f>CEILING(Lifestyle!BH97*Shepparton!M106,5)</f>
        <v>9655</v>
      </c>
      <c r="E106" s="62">
        <f>CEILING(Lifestyle!BK97*Shepparton!N106,5)</f>
        <v>7630</v>
      </c>
      <c r="F106" s="38">
        <f t="shared" si="32"/>
        <v>436705</v>
      </c>
      <c r="G106" s="62">
        <f>CEILING(Lifestyle!BL97*Shepparton!O106,5)</f>
        <v>6205</v>
      </c>
      <c r="H106" s="20"/>
      <c r="I106" s="39">
        <f>+Lifestyle!BB97</f>
        <v>408414</v>
      </c>
      <c r="J106" s="21">
        <f t="shared" si="30"/>
        <v>0</v>
      </c>
      <c r="K106" s="21">
        <f>+Lifestyle!BD97</f>
        <v>4000</v>
      </c>
      <c r="L106" s="21">
        <f t="shared" si="30"/>
        <v>7000</v>
      </c>
      <c r="M106" s="21">
        <f t="shared" si="30"/>
        <v>103</v>
      </c>
      <c r="N106" s="21">
        <f t="shared" si="30"/>
        <v>60</v>
      </c>
      <c r="O106" s="21">
        <f t="shared" ref="O106:O114" si="40">+O105</f>
        <v>85</v>
      </c>
    </row>
    <row r="107" spans="1:15" s="21" customFormat="1" ht="18" customHeight="1">
      <c r="A107" s="42" t="s">
        <v>85</v>
      </c>
      <c r="B107" s="35">
        <f t="shared" si="29"/>
        <v>321050</v>
      </c>
      <c r="C107" s="43">
        <f t="shared" si="31"/>
        <v>7000</v>
      </c>
      <c r="D107" s="62">
        <f>CEILING(Lifestyle!BH98*Shepparton!M107,5)</f>
        <v>7335</v>
      </c>
      <c r="E107" s="62">
        <f>CEILING(Lifestyle!BK98*Shepparton!N107,5)</f>
        <v>3760</v>
      </c>
      <c r="F107" s="38">
        <f t="shared" si="32"/>
        <v>339145</v>
      </c>
      <c r="G107" s="62">
        <f>CEILING(Lifestyle!BL98*Shepparton!O107,5)</f>
        <v>5355</v>
      </c>
      <c r="H107" s="20"/>
      <c r="I107" s="39">
        <f>+Lifestyle!BB98</f>
        <v>318048</v>
      </c>
      <c r="J107" s="21">
        <f t="shared" si="30"/>
        <v>0</v>
      </c>
      <c r="K107" s="21">
        <f>+Lifestyle!BD98</f>
        <v>3000</v>
      </c>
      <c r="L107" s="21">
        <f t="shared" si="30"/>
        <v>7000</v>
      </c>
      <c r="M107" s="21">
        <f t="shared" si="30"/>
        <v>103</v>
      </c>
      <c r="N107" s="21">
        <f t="shared" si="30"/>
        <v>60</v>
      </c>
      <c r="O107" s="21">
        <f t="shared" si="40"/>
        <v>85</v>
      </c>
    </row>
    <row r="108" spans="1:15" s="21" customFormat="1" ht="18" customHeight="1">
      <c r="A108" s="42" t="s">
        <v>86</v>
      </c>
      <c r="B108" s="35">
        <f t="shared" si="29"/>
        <v>353720</v>
      </c>
      <c r="C108" s="43">
        <f t="shared" si="31"/>
        <v>7000</v>
      </c>
      <c r="D108" s="62">
        <f>CEILING(Lifestyle!BH99*Shepparton!M108,5)</f>
        <v>8025</v>
      </c>
      <c r="E108" s="62">
        <f>CEILING(Lifestyle!BK99*Shepparton!N108,5)</f>
        <v>4720</v>
      </c>
      <c r="F108" s="38">
        <f t="shared" si="32"/>
        <v>373465</v>
      </c>
      <c r="G108" s="62">
        <f>CEILING(Lifestyle!BL99*Shepparton!O108,5)</f>
        <v>4845</v>
      </c>
      <c r="H108" s="20"/>
      <c r="I108" s="39">
        <f>+Lifestyle!BB99</f>
        <v>349713</v>
      </c>
      <c r="J108" s="21">
        <f t="shared" si="30"/>
        <v>0</v>
      </c>
      <c r="K108" s="21">
        <f>+Lifestyle!BD99</f>
        <v>4000</v>
      </c>
      <c r="L108" s="21">
        <f t="shared" si="30"/>
        <v>7000</v>
      </c>
      <c r="M108" s="21">
        <f t="shared" si="30"/>
        <v>103</v>
      </c>
      <c r="N108" s="21">
        <f t="shared" si="30"/>
        <v>60</v>
      </c>
      <c r="O108" s="21">
        <f t="shared" si="40"/>
        <v>85</v>
      </c>
    </row>
    <row r="109" spans="1:15" s="21" customFormat="1" ht="18" customHeight="1">
      <c r="A109" s="42" t="s">
        <v>87</v>
      </c>
      <c r="B109" s="35">
        <f t="shared" si="29"/>
        <v>376710</v>
      </c>
      <c r="C109" s="43">
        <f t="shared" si="31"/>
        <v>7000</v>
      </c>
      <c r="D109" s="62">
        <f>CEILING(Lifestyle!BH100*Shepparton!M109,5)</f>
        <v>9030</v>
      </c>
      <c r="E109" s="62">
        <f>CEILING(Lifestyle!BK100*Shepparton!N109,5)</f>
        <v>6215</v>
      </c>
      <c r="F109" s="38">
        <f t="shared" si="32"/>
        <v>398955</v>
      </c>
      <c r="G109" s="62">
        <f>CEILING(Lifestyle!BL100*Shepparton!O109,5)</f>
        <v>5525</v>
      </c>
      <c r="H109" s="20"/>
      <c r="I109" s="39">
        <f>+Lifestyle!BB100</f>
        <v>372707</v>
      </c>
      <c r="J109" s="21">
        <f t="shared" si="30"/>
        <v>0</v>
      </c>
      <c r="K109" s="21">
        <f>+Lifestyle!BD100</f>
        <v>4000</v>
      </c>
      <c r="L109" s="21">
        <f t="shared" si="30"/>
        <v>7000</v>
      </c>
      <c r="M109" s="21">
        <f t="shared" si="30"/>
        <v>103</v>
      </c>
      <c r="N109" s="21">
        <f t="shared" si="30"/>
        <v>60</v>
      </c>
      <c r="O109" s="21">
        <f t="shared" si="40"/>
        <v>85</v>
      </c>
    </row>
    <row r="110" spans="1:15" s="21" customFormat="1" ht="18" customHeight="1">
      <c r="A110" s="42" t="s">
        <v>88</v>
      </c>
      <c r="B110" s="35">
        <f t="shared" si="29"/>
        <v>387250</v>
      </c>
      <c r="C110" s="43">
        <f t="shared" si="31"/>
        <v>7000</v>
      </c>
      <c r="D110" s="62">
        <f>CEILING(Lifestyle!BH101*Shepparton!M110,5)</f>
        <v>8615</v>
      </c>
      <c r="E110" s="62">
        <f>CEILING(Lifestyle!BK101*Shepparton!N110,5)</f>
        <v>6140</v>
      </c>
      <c r="F110" s="38">
        <f t="shared" si="32"/>
        <v>409005</v>
      </c>
      <c r="G110" s="62">
        <f>CEILING(Lifestyle!BL101*Shepparton!O110,5)</f>
        <v>5185</v>
      </c>
      <c r="H110" s="20"/>
      <c r="I110" s="39">
        <f>+Lifestyle!BB101</f>
        <v>383246</v>
      </c>
      <c r="J110" s="21">
        <f t="shared" si="30"/>
        <v>0</v>
      </c>
      <c r="K110" s="21">
        <f>+Lifestyle!BD101</f>
        <v>4000</v>
      </c>
      <c r="L110" s="21">
        <f t="shared" si="30"/>
        <v>7000</v>
      </c>
      <c r="M110" s="21">
        <f t="shared" si="30"/>
        <v>103</v>
      </c>
      <c r="N110" s="21">
        <f t="shared" si="30"/>
        <v>60</v>
      </c>
      <c r="O110" s="21">
        <f t="shared" si="40"/>
        <v>85</v>
      </c>
    </row>
    <row r="111" spans="1:15" s="21" customFormat="1" ht="18" customHeight="1">
      <c r="A111" s="42" t="s">
        <v>1345</v>
      </c>
      <c r="B111" s="35">
        <f t="shared" si="29"/>
        <v>422020</v>
      </c>
      <c r="C111" s="43">
        <f>+L111</f>
        <v>7000</v>
      </c>
      <c r="D111" s="62">
        <f>CEILING(Lifestyle!BH102*Shepparton!M111,5)</f>
        <v>9555</v>
      </c>
      <c r="E111" s="62">
        <f>CEILING(Lifestyle!BK102*Shepparton!N111,5)</f>
        <v>5615</v>
      </c>
      <c r="F111" s="38">
        <f>SUM(B111:E111)</f>
        <v>444190</v>
      </c>
      <c r="G111" s="62">
        <f>CEILING(Lifestyle!BL102*Shepparton!O111,5)</f>
        <v>6800</v>
      </c>
      <c r="H111" s="20"/>
      <c r="I111" s="39">
        <f>+Lifestyle!BB102</f>
        <v>418020</v>
      </c>
      <c r="J111" s="21">
        <f t="shared" ref="J111:N114" si="41">+J110</f>
        <v>0</v>
      </c>
      <c r="K111" s="21">
        <f>+Lifestyle!BD102</f>
        <v>4000</v>
      </c>
      <c r="L111" s="21">
        <f t="shared" si="41"/>
        <v>7000</v>
      </c>
      <c r="M111" s="21">
        <f t="shared" si="41"/>
        <v>103</v>
      </c>
      <c r="N111" s="21">
        <f t="shared" si="41"/>
        <v>60</v>
      </c>
      <c r="O111" s="21">
        <f t="shared" si="40"/>
        <v>85</v>
      </c>
    </row>
    <row r="112" spans="1:15" s="21" customFormat="1" ht="18" customHeight="1">
      <c r="A112" s="42" t="s">
        <v>1344</v>
      </c>
      <c r="B112" s="35">
        <f t="shared" si="29"/>
        <v>476610</v>
      </c>
      <c r="C112" s="43">
        <f>+L112</f>
        <v>7000</v>
      </c>
      <c r="D112" s="62">
        <f>CEILING(Lifestyle!BH103*Shepparton!M112,5)</f>
        <v>8710</v>
      </c>
      <c r="E112" s="62">
        <f>CEILING(Lifestyle!BK103*Shepparton!N112,5)</f>
        <v>8980</v>
      </c>
      <c r="F112" s="38">
        <f>SUM(B112:E112)</f>
        <v>501300</v>
      </c>
      <c r="G112" s="62">
        <f>CEILING(Lifestyle!BL103*Shepparton!O112,5)</f>
        <v>7310</v>
      </c>
      <c r="H112" s="20"/>
      <c r="I112" s="39">
        <f>+Lifestyle!BB103</f>
        <v>472601</v>
      </c>
      <c r="J112" s="21">
        <f t="shared" si="41"/>
        <v>0</v>
      </c>
      <c r="K112" s="21">
        <f>+Lifestyle!BD103</f>
        <v>4000</v>
      </c>
      <c r="L112" s="21">
        <f t="shared" si="41"/>
        <v>7000</v>
      </c>
      <c r="M112" s="21">
        <f t="shared" si="41"/>
        <v>103</v>
      </c>
      <c r="N112" s="21">
        <f t="shared" si="41"/>
        <v>60</v>
      </c>
      <c r="O112" s="21">
        <f t="shared" si="40"/>
        <v>85</v>
      </c>
    </row>
    <row r="113" spans="1:15" s="21" customFormat="1" ht="18" customHeight="1">
      <c r="A113" s="42" t="s">
        <v>1343</v>
      </c>
      <c r="B113" s="35">
        <f t="shared" si="29"/>
        <v>474800</v>
      </c>
      <c r="C113" s="43">
        <f>+L113</f>
        <v>7000</v>
      </c>
      <c r="D113" s="62">
        <f>CEILING(Lifestyle!BH104*Shepparton!M113,5)</f>
        <v>9830</v>
      </c>
      <c r="E113" s="62">
        <f>CEILING(Lifestyle!BK104*Shepparton!N113,5)</f>
        <v>8155</v>
      </c>
      <c r="F113" s="38">
        <f>SUM(B113:E113)</f>
        <v>499785</v>
      </c>
      <c r="G113" s="62">
        <f>CEILING(Lifestyle!BL104*Shepparton!O113,5)</f>
        <v>7225</v>
      </c>
      <c r="H113" s="20"/>
      <c r="I113" s="39">
        <f>+Lifestyle!BB104</f>
        <v>470792</v>
      </c>
      <c r="J113" s="21">
        <f t="shared" si="41"/>
        <v>0</v>
      </c>
      <c r="K113" s="21">
        <f>+Lifestyle!BD104</f>
        <v>4000</v>
      </c>
      <c r="L113" s="21">
        <f t="shared" si="41"/>
        <v>7000</v>
      </c>
      <c r="M113" s="21">
        <f t="shared" si="41"/>
        <v>103</v>
      </c>
      <c r="N113" s="21">
        <f t="shared" si="41"/>
        <v>60</v>
      </c>
      <c r="O113" s="21">
        <f t="shared" si="40"/>
        <v>85</v>
      </c>
    </row>
    <row r="114" spans="1:15" s="21" customFormat="1" ht="18" customHeight="1">
      <c r="A114" s="42" t="s">
        <v>89</v>
      </c>
      <c r="B114" s="35">
        <f t="shared" si="29"/>
        <v>327570</v>
      </c>
      <c r="C114" s="43">
        <f t="shared" si="31"/>
        <v>7000</v>
      </c>
      <c r="D114" s="62">
        <f>CEILING(Lifestyle!BH105*Shepparton!M114,5)</f>
        <v>7785</v>
      </c>
      <c r="E114" s="62">
        <f>CEILING(Lifestyle!BK105*Shepparton!N114,5)</f>
        <v>3690</v>
      </c>
      <c r="F114" s="38">
        <f t="shared" si="32"/>
        <v>346045</v>
      </c>
      <c r="G114" s="62">
        <f>CEILING(Lifestyle!BL105*Shepparton!O114,5)</f>
        <v>5440</v>
      </c>
      <c r="H114" s="20"/>
      <c r="I114" s="39">
        <f>+Lifestyle!BB105</f>
        <v>324567</v>
      </c>
      <c r="J114" s="21">
        <f t="shared" si="41"/>
        <v>0</v>
      </c>
      <c r="K114" s="21">
        <f>+Lifestyle!BD105</f>
        <v>3000</v>
      </c>
      <c r="L114" s="21">
        <f t="shared" si="41"/>
        <v>7000</v>
      </c>
      <c r="M114" s="21">
        <f t="shared" si="41"/>
        <v>103</v>
      </c>
      <c r="N114" s="21">
        <f t="shared" si="41"/>
        <v>60</v>
      </c>
      <c r="O114" s="21">
        <f t="shared" si="40"/>
        <v>85</v>
      </c>
    </row>
    <row r="115" spans="1:15" s="21" customFormat="1" ht="18" customHeight="1">
      <c r="A115" s="42" t="s">
        <v>90</v>
      </c>
      <c r="B115" s="35">
        <f t="shared" si="29"/>
        <v>364140</v>
      </c>
      <c r="C115" s="43">
        <f t="shared" si="31"/>
        <v>7000</v>
      </c>
      <c r="D115" s="62">
        <f>CEILING(Lifestyle!BH106*Shepparton!M115,5)</f>
        <v>8685</v>
      </c>
      <c r="E115" s="62">
        <f>CEILING(Lifestyle!BK106*Shepparton!N115,5)</f>
        <v>5230</v>
      </c>
      <c r="F115" s="38">
        <f t="shared" si="32"/>
        <v>385055</v>
      </c>
      <c r="G115" s="62">
        <f>CEILING(Lifestyle!BL106*Shepparton!O115,5)</f>
        <v>5780</v>
      </c>
      <c r="H115" s="20"/>
      <c r="I115" s="39">
        <f>+Lifestyle!BB106</f>
        <v>360137</v>
      </c>
      <c r="J115" s="21">
        <f t="shared" si="30"/>
        <v>0</v>
      </c>
      <c r="K115" s="21">
        <f>+Lifestyle!BD106</f>
        <v>4000</v>
      </c>
      <c r="L115" s="21">
        <f t="shared" si="30"/>
        <v>7000</v>
      </c>
      <c r="M115" s="21">
        <f t="shared" si="30"/>
        <v>103</v>
      </c>
      <c r="N115" s="21">
        <f t="shared" si="30"/>
        <v>60</v>
      </c>
      <c r="O115" s="21">
        <f>+O114</f>
        <v>85</v>
      </c>
    </row>
    <row r="116" spans="1:15" s="21" customFormat="1" ht="18" customHeight="1">
      <c r="A116" s="42" t="s">
        <v>91</v>
      </c>
      <c r="B116" s="35">
        <f t="shared" si="29"/>
        <v>407450</v>
      </c>
      <c r="C116" s="43">
        <f t="shared" si="31"/>
        <v>7000</v>
      </c>
      <c r="D116" s="62">
        <f>CEILING(Lifestyle!BH107*Shepparton!M116,5)</f>
        <v>10365</v>
      </c>
      <c r="E116" s="62">
        <f>CEILING(Lifestyle!BK107*Shepparton!N116,5)</f>
        <v>6480</v>
      </c>
      <c r="F116" s="38">
        <f t="shared" si="32"/>
        <v>431295</v>
      </c>
      <c r="G116" s="62">
        <f>CEILING(Lifestyle!BL107*Shepparton!O116,5)</f>
        <v>6375</v>
      </c>
      <c r="H116" s="20"/>
      <c r="I116" s="39">
        <f>+Lifestyle!BB107</f>
        <v>403446</v>
      </c>
      <c r="J116" s="21">
        <f t="shared" si="30"/>
        <v>0</v>
      </c>
      <c r="K116" s="21">
        <f>+Lifestyle!BD107</f>
        <v>4000</v>
      </c>
      <c r="L116" s="21">
        <f t="shared" si="30"/>
        <v>7000</v>
      </c>
      <c r="M116" s="21">
        <f t="shared" si="30"/>
        <v>103</v>
      </c>
      <c r="N116" s="21">
        <f t="shared" si="30"/>
        <v>60</v>
      </c>
      <c r="O116" s="21">
        <f>+O115</f>
        <v>85</v>
      </c>
    </row>
    <row r="117" spans="1:15" s="21" customFormat="1" ht="5.25" customHeight="1" thickBot="1">
      <c r="C117" s="44"/>
      <c r="D117" s="44"/>
      <c r="E117" s="44"/>
      <c r="F117" s="45"/>
      <c r="G117" s="45"/>
      <c r="H117" s="20"/>
      <c r="L117" s="39"/>
    </row>
    <row r="118" spans="1:15" s="21" customFormat="1" ht="15.75">
      <c r="A118" s="46" t="s">
        <v>187</v>
      </c>
      <c r="B118" s="47"/>
      <c r="C118" s="44"/>
      <c r="D118" s="44"/>
      <c r="E118" s="48" t="s">
        <v>188</v>
      </c>
      <c r="F118" s="49"/>
      <c r="G118" s="50"/>
      <c r="H118" s="20"/>
      <c r="L118" s="39"/>
    </row>
    <row r="119" spans="1:15" s="21" customFormat="1" ht="15">
      <c r="A119" s="51" t="s">
        <v>189</v>
      </c>
      <c r="B119" s="52"/>
      <c r="C119" s="44"/>
      <c r="D119" s="44"/>
      <c r="E119" s="53" t="s">
        <v>190</v>
      </c>
      <c r="G119" s="22"/>
      <c r="H119" s="20"/>
      <c r="L119" s="39"/>
    </row>
    <row r="120" spans="1:15" s="21" customFormat="1" ht="15">
      <c r="A120" s="51" t="s">
        <v>191</v>
      </c>
      <c r="B120" s="52"/>
      <c r="C120" s="44"/>
      <c r="D120" s="44"/>
      <c r="E120" s="53" t="s">
        <v>192</v>
      </c>
      <c r="G120" s="22"/>
      <c r="H120" s="20"/>
      <c r="L120" s="39"/>
    </row>
    <row r="121" spans="1:15" s="21" customFormat="1" ht="15">
      <c r="A121" s="51" t="s">
        <v>193</v>
      </c>
      <c r="B121" s="52"/>
      <c r="C121" s="44"/>
      <c r="D121" s="44"/>
      <c r="E121" s="53" t="s">
        <v>194</v>
      </c>
      <c r="G121" s="22"/>
      <c r="H121" s="20"/>
      <c r="L121" s="39"/>
    </row>
    <row r="122" spans="1:15" s="21" customFormat="1" ht="15">
      <c r="A122" s="51" t="s">
        <v>195</v>
      </c>
      <c r="B122" s="52"/>
      <c r="C122" s="44"/>
      <c r="D122" s="44"/>
      <c r="E122" s="53" t="s">
        <v>196</v>
      </c>
      <c r="G122" s="22"/>
      <c r="H122" s="20"/>
      <c r="L122" s="39"/>
    </row>
    <row r="123" spans="1:15" s="21" customFormat="1" ht="15">
      <c r="A123" s="51"/>
      <c r="B123" s="52"/>
      <c r="C123" s="44"/>
      <c r="D123" s="44"/>
      <c r="E123" s="53" t="s">
        <v>197</v>
      </c>
      <c r="G123" s="22"/>
      <c r="H123" s="20"/>
      <c r="L123" s="39"/>
    </row>
    <row r="124" spans="1:15" s="21" customFormat="1" ht="15.75" thickBot="1">
      <c r="A124" s="54"/>
      <c r="B124" s="55"/>
      <c r="C124" s="44"/>
      <c r="D124" s="44"/>
      <c r="E124" s="56" t="s">
        <v>198</v>
      </c>
      <c r="F124" s="57"/>
      <c r="G124" s="58"/>
      <c r="H124" s="20"/>
      <c r="L124" s="39"/>
    </row>
    <row r="125" spans="1:15">
      <c r="E125" s="64"/>
    </row>
    <row r="126" spans="1:15" ht="15">
      <c r="A126" s="21"/>
      <c r="E126" s="64"/>
    </row>
    <row r="127" spans="1:15" s="21" customFormat="1" ht="21" customHeight="1">
      <c r="A127" s="722" t="s">
        <v>174</v>
      </c>
      <c r="B127" s="722"/>
      <c r="C127" s="722"/>
      <c r="D127" s="722"/>
      <c r="E127" s="722"/>
      <c r="F127" s="722"/>
      <c r="G127" s="722"/>
      <c r="H127" s="20"/>
    </row>
    <row r="128" spans="1:15" s="21" customFormat="1" ht="21" customHeight="1" thickBot="1">
      <c r="A128" s="23" t="s">
        <v>1631</v>
      </c>
      <c r="B128" s="23"/>
      <c r="C128" s="23"/>
      <c r="D128" s="23"/>
      <c r="E128" s="23"/>
      <c r="F128" s="24"/>
      <c r="G128" s="25"/>
      <c r="H128" s="20"/>
      <c r="L128" s="39"/>
    </row>
    <row r="129" spans="1:15" s="21" customFormat="1" ht="91.5" customHeight="1" thickBot="1">
      <c r="A129" s="26" t="s">
        <v>175</v>
      </c>
      <c r="B129" s="27" t="s">
        <v>176</v>
      </c>
      <c r="C129" s="28" t="s">
        <v>177</v>
      </c>
      <c r="D129" s="28" t="s">
        <v>178</v>
      </c>
      <c r="E129" s="28" t="s">
        <v>179</v>
      </c>
      <c r="F129" s="29" t="s">
        <v>180</v>
      </c>
      <c r="G129" s="28" t="s">
        <v>181</v>
      </c>
      <c r="H129" s="20"/>
      <c r="L129" s="39"/>
    </row>
    <row r="130" spans="1:15" s="21" customFormat="1" ht="18" customHeight="1">
      <c r="A130" s="67" t="s">
        <v>93</v>
      </c>
      <c r="B130" s="35">
        <f t="shared" ref="B130:B145" si="42">+CEILING(I130+J130+K130,10)</f>
        <v>281610</v>
      </c>
      <c r="C130" s="36">
        <f>+L130</f>
        <v>7000</v>
      </c>
      <c r="D130" s="37">
        <f>CEILING(Lifestyle!BH110*Shepparton!M130,5)</f>
        <v>6020</v>
      </c>
      <c r="E130" s="37">
        <f>CEILING(Lifestyle!BK110*Shepparton!N130,5)</f>
        <v>2420</v>
      </c>
      <c r="F130" s="38">
        <f>SUM(B130:E130)</f>
        <v>297050</v>
      </c>
      <c r="G130" s="37">
        <f>CEILING(Lifestyle!BL110*Shepparton!O130,5)</f>
        <v>4930</v>
      </c>
      <c r="H130" s="20"/>
      <c r="I130" s="39">
        <f>+Lifestyle!BB110</f>
        <v>278601</v>
      </c>
      <c r="J130" s="21">
        <f>+J116</f>
        <v>0</v>
      </c>
      <c r="K130" s="21">
        <f>+Lifestyle!BD110</f>
        <v>3000</v>
      </c>
      <c r="L130" s="21">
        <f>+L116</f>
        <v>7000</v>
      </c>
      <c r="M130" s="21">
        <f>+M116</f>
        <v>103</v>
      </c>
      <c r="N130" s="21">
        <f>+N116</f>
        <v>60</v>
      </c>
      <c r="O130" s="21">
        <f>+O116</f>
        <v>85</v>
      </c>
    </row>
    <row r="131" spans="1:15" s="21" customFormat="1" ht="18" customHeight="1">
      <c r="A131" s="68" t="s">
        <v>94</v>
      </c>
      <c r="B131" s="35">
        <f t="shared" si="42"/>
        <v>293600</v>
      </c>
      <c r="C131" s="43">
        <f t="shared" ref="C131:C145" si="43">+L131</f>
        <v>7000</v>
      </c>
      <c r="D131" s="37">
        <f>CEILING(Lifestyle!BH111*Shepparton!M131,5)</f>
        <v>6020</v>
      </c>
      <c r="E131" s="37">
        <f>CEILING(Lifestyle!BK111*Shepparton!N131,5)</f>
        <v>2420</v>
      </c>
      <c r="F131" s="38">
        <f t="shared" ref="F131:F145" si="44">SUM(B131:E131)</f>
        <v>309040</v>
      </c>
      <c r="G131" s="37">
        <f>CEILING(Lifestyle!BL111*Shepparton!O131,5)</f>
        <v>5270</v>
      </c>
      <c r="H131" s="20"/>
      <c r="I131" s="39">
        <f>+Lifestyle!BB111</f>
        <v>290595</v>
      </c>
      <c r="J131" s="21">
        <f>+J130</f>
        <v>0</v>
      </c>
      <c r="K131" s="21">
        <f>+Lifestyle!BD111</f>
        <v>3000</v>
      </c>
      <c r="L131" s="21">
        <f>+L130</f>
        <v>7000</v>
      </c>
      <c r="M131" s="21">
        <f>+M130</f>
        <v>103</v>
      </c>
      <c r="N131" s="21">
        <f>+N130</f>
        <v>60</v>
      </c>
      <c r="O131" s="21">
        <f>+O130</f>
        <v>85</v>
      </c>
    </row>
    <row r="132" spans="1:15" s="21" customFormat="1" ht="18" customHeight="1">
      <c r="A132" s="68" t="s">
        <v>95</v>
      </c>
      <c r="B132" s="35">
        <f t="shared" si="42"/>
        <v>300590</v>
      </c>
      <c r="C132" s="43">
        <f t="shared" si="43"/>
        <v>7000</v>
      </c>
      <c r="D132" s="37">
        <f>CEILING(Lifestyle!BH112*Shepparton!M132,5)</f>
        <v>6985</v>
      </c>
      <c r="E132" s="37">
        <f>CEILING(Lifestyle!BK112*Shepparton!N132,5)</f>
        <v>2415</v>
      </c>
      <c r="F132" s="38">
        <f t="shared" si="44"/>
        <v>316990</v>
      </c>
      <c r="G132" s="37">
        <f>CEILING(Lifestyle!BL112*Shepparton!O132,5)</f>
        <v>5270</v>
      </c>
      <c r="H132" s="20"/>
      <c r="I132" s="39">
        <f>+Lifestyle!BB112</f>
        <v>297582</v>
      </c>
      <c r="J132" s="21">
        <f t="shared" ref="J132:O145" si="45">+J131</f>
        <v>0</v>
      </c>
      <c r="K132" s="21">
        <f>+Lifestyle!BD112</f>
        <v>3000</v>
      </c>
      <c r="L132" s="21">
        <f t="shared" si="45"/>
        <v>7000</v>
      </c>
      <c r="M132" s="21">
        <f t="shared" si="45"/>
        <v>103</v>
      </c>
      <c r="N132" s="21">
        <f t="shared" si="45"/>
        <v>60</v>
      </c>
      <c r="O132" s="21">
        <f t="shared" si="45"/>
        <v>85</v>
      </c>
    </row>
    <row r="133" spans="1:15" s="21" customFormat="1" ht="18" customHeight="1">
      <c r="A133" s="68" t="s">
        <v>96</v>
      </c>
      <c r="B133" s="35">
        <f t="shared" si="42"/>
        <v>277130</v>
      </c>
      <c r="C133" s="43">
        <f t="shared" si="43"/>
        <v>7000</v>
      </c>
      <c r="D133" s="37">
        <f>CEILING(Lifestyle!BH113*Shepparton!M133,5)</f>
        <v>5860</v>
      </c>
      <c r="E133" s="37">
        <f>CEILING(Lifestyle!BK113*Shepparton!N133,5)</f>
        <v>2565</v>
      </c>
      <c r="F133" s="38">
        <f t="shared" si="44"/>
        <v>292555</v>
      </c>
      <c r="G133" s="37">
        <f>CEILING(Lifestyle!BL113*Shepparton!O133,5)</f>
        <v>4250</v>
      </c>
      <c r="H133" s="20"/>
      <c r="I133" s="39">
        <f>+Lifestyle!BB113</f>
        <v>274130</v>
      </c>
      <c r="J133" s="21">
        <f t="shared" si="45"/>
        <v>0</v>
      </c>
      <c r="K133" s="21">
        <f>+Lifestyle!BD113</f>
        <v>3000</v>
      </c>
      <c r="L133" s="21">
        <f t="shared" si="45"/>
        <v>7000</v>
      </c>
      <c r="M133" s="21">
        <f t="shared" si="45"/>
        <v>103</v>
      </c>
      <c r="N133" s="21">
        <f t="shared" si="45"/>
        <v>60</v>
      </c>
      <c r="O133" s="21">
        <f t="shared" si="45"/>
        <v>85</v>
      </c>
    </row>
    <row r="134" spans="1:15" s="21" customFormat="1" ht="18" customHeight="1">
      <c r="A134" s="68" t="s">
        <v>97</v>
      </c>
      <c r="B134" s="35">
        <f t="shared" si="42"/>
        <v>297720</v>
      </c>
      <c r="C134" s="43">
        <f t="shared" si="43"/>
        <v>7000</v>
      </c>
      <c r="D134" s="37">
        <f>CEILING(Lifestyle!BH114*Shepparton!M134,5)</f>
        <v>6355</v>
      </c>
      <c r="E134" s="37">
        <f>CEILING(Lifestyle!BK114*Shepparton!N134,5)</f>
        <v>3230</v>
      </c>
      <c r="F134" s="38">
        <f t="shared" si="44"/>
        <v>314305</v>
      </c>
      <c r="G134" s="37">
        <f>CEILING(Lifestyle!BL114*Shepparton!O134,5)</f>
        <v>4930</v>
      </c>
      <c r="H134" s="20"/>
      <c r="I134" s="39">
        <f>+Lifestyle!BB114</f>
        <v>294718</v>
      </c>
      <c r="J134" s="21">
        <f t="shared" si="45"/>
        <v>0</v>
      </c>
      <c r="K134" s="21">
        <f>+Lifestyle!BD114</f>
        <v>3000</v>
      </c>
      <c r="L134" s="21">
        <f t="shared" si="45"/>
        <v>7000</v>
      </c>
      <c r="M134" s="21">
        <f t="shared" si="45"/>
        <v>103</v>
      </c>
      <c r="N134" s="21">
        <f t="shared" si="45"/>
        <v>60</v>
      </c>
      <c r="O134" s="21">
        <f t="shared" si="45"/>
        <v>85</v>
      </c>
    </row>
    <row r="135" spans="1:15" s="21" customFormat="1" ht="18" customHeight="1">
      <c r="A135" s="68" t="s">
        <v>98</v>
      </c>
      <c r="B135" s="35">
        <f t="shared" si="42"/>
        <v>301320</v>
      </c>
      <c r="C135" s="43">
        <f t="shared" si="43"/>
        <v>7000</v>
      </c>
      <c r="D135" s="37">
        <f>CEILING(Lifestyle!BH115*Shepparton!M135,5)</f>
        <v>5905</v>
      </c>
      <c r="E135" s="37">
        <f>CEILING(Lifestyle!BK115*Shepparton!N135,5)</f>
        <v>3835</v>
      </c>
      <c r="F135" s="38">
        <f t="shared" si="44"/>
        <v>318060</v>
      </c>
      <c r="G135" s="37">
        <f>CEILING(Lifestyle!BL115*Shepparton!O135,5)</f>
        <v>5185</v>
      </c>
      <c r="H135" s="20"/>
      <c r="I135" s="39">
        <f>+Lifestyle!BB115</f>
        <v>298314</v>
      </c>
      <c r="J135" s="21">
        <f t="shared" si="45"/>
        <v>0</v>
      </c>
      <c r="K135" s="21">
        <f>+Lifestyle!BD115</f>
        <v>3000</v>
      </c>
      <c r="L135" s="21">
        <f t="shared" si="45"/>
        <v>7000</v>
      </c>
      <c r="M135" s="21">
        <f t="shared" si="45"/>
        <v>103</v>
      </c>
      <c r="N135" s="21">
        <f t="shared" si="45"/>
        <v>60</v>
      </c>
      <c r="O135" s="21">
        <f t="shared" si="45"/>
        <v>85</v>
      </c>
    </row>
    <row r="136" spans="1:15" s="21" customFormat="1" ht="18" customHeight="1">
      <c r="A136" s="68" t="s">
        <v>99</v>
      </c>
      <c r="B136" s="35">
        <f t="shared" si="42"/>
        <v>245920</v>
      </c>
      <c r="C136" s="43">
        <f t="shared" si="43"/>
        <v>7000</v>
      </c>
      <c r="D136" s="37">
        <f>CEILING(Lifestyle!BH116*Shepparton!M136,5)</f>
        <v>5865</v>
      </c>
      <c r="E136" s="37">
        <f>CEILING(Lifestyle!BK116*Shepparton!N136,5)</f>
        <v>2700</v>
      </c>
      <c r="F136" s="38">
        <f t="shared" si="44"/>
        <v>261485</v>
      </c>
      <c r="G136" s="37">
        <f>CEILING(Lifestyle!BL116*Shepparton!O136,5)</f>
        <v>4080</v>
      </c>
      <c r="H136" s="20"/>
      <c r="I136" s="39">
        <f>+Lifestyle!BB116</f>
        <v>242920</v>
      </c>
      <c r="J136" s="21">
        <f t="shared" si="45"/>
        <v>0</v>
      </c>
      <c r="K136" s="21">
        <f>+Lifestyle!BD116</f>
        <v>3000</v>
      </c>
      <c r="L136" s="21">
        <f t="shared" si="45"/>
        <v>7000</v>
      </c>
      <c r="M136" s="21">
        <f t="shared" si="45"/>
        <v>103</v>
      </c>
      <c r="N136" s="21">
        <f t="shared" si="45"/>
        <v>60</v>
      </c>
      <c r="O136" s="21">
        <f t="shared" si="45"/>
        <v>85</v>
      </c>
    </row>
    <row r="137" spans="1:15" s="21" customFormat="1" ht="18" customHeight="1">
      <c r="A137" s="68" t="s">
        <v>100</v>
      </c>
      <c r="B137" s="35">
        <f t="shared" si="42"/>
        <v>279600</v>
      </c>
      <c r="C137" s="43">
        <f t="shared" si="43"/>
        <v>7000</v>
      </c>
      <c r="D137" s="37">
        <f>CEILING(Lifestyle!BH117*Shepparton!M137,5)</f>
        <v>6770</v>
      </c>
      <c r="E137" s="37">
        <f>CEILING(Lifestyle!BK117*Shepparton!N137,5)</f>
        <v>2660</v>
      </c>
      <c r="F137" s="38">
        <f t="shared" si="44"/>
        <v>296030</v>
      </c>
      <c r="G137" s="37">
        <f>CEILING(Lifestyle!BL117*Shepparton!O137,5)</f>
        <v>4505</v>
      </c>
      <c r="H137" s="20"/>
      <c r="I137" s="39">
        <f>+Lifestyle!BB117</f>
        <v>276599</v>
      </c>
      <c r="J137" s="21">
        <f t="shared" si="45"/>
        <v>0</v>
      </c>
      <c r="K137" s="21">
        <f>+Lifestyle!BD117</f>
        <v>3000</v>
      </c>
      <c r="L137" s="21">
        <f t="shared" si="45"/>
        <v>7000</v>
      </c>
      <c r="M137" s="21">
        <f t="shared" si="45"/>
        <v>103</v>
      </c>
      <c r="N137" s="21">
        <f t="shared" si="45"/>
        <v>60</v>
      </c>
      <c r="O137" s="21">
        <f t="shared" si="45"/>
        <v>85</v>
      </c>
    </row>
    <row r="138" spans="1:15" s="21" customFormat="1" ht="18" customHeight="1">
      <c r="A138" s="68" t="s">
        <v>101</v>
      </c>
      <c r="B138" s="35">
        <f t="shared" si="42"/>
        <v>295100</v>
      </c>
      <c r="C138" s="43">
        <f t="shared" si="43"/>
        <v>7000</v>
      </c>
      <c r="D138" s="37">
        <f>CEILING(Lifestyle!BH118*Shepparton!M138,5)</f>
        <v>7355</v>
      </c>
      <c r="E138" s="37">
        <f>CEILING(Lifestyle!BK118*Shepparton!N138,5)</f>
        <v>3320</v>
      </c>
      <c r="F138" s="38">
        <f t="shared" si="44"/>
        <v>312775</v>
      </c>
      <c r="G138" s="37">
        <f>CEILING(Lifestyle!BL118*Shepparton!O138,5)</f>
        <v>4845</v>
      </c>
      <c r="H138" s="20"/>
      <c r="I138" s="39">
        <f>+Lifestyle!BB118</f>
        <v>292091</v>
      </c>
      <c r="J138" s="21">
        <f t="shared" si="45"/>
        <v>0</v>
      </c>
      <c r="K138" s="21">
        <f>+Lifestyle!BD118</f>
        <v>3000</v>
      </c>
      <c r="L138" s="21">
        <f t="shared" si="45"/>
        <v>7000</v>
      </c>
      <c r="M138" s="21">
        <f t="shared" si="45"/>
        <v>103</v>
      </c>
      <c r="N138" s="21">
        <f t="shared" si="45"/>
        <v>60</v>
      </c>
      <c r="O138" s="21">
        <f t="shared" si="45"/>
        <v>85</v>
      </c>
    </row>
    <row r="139" spans="1:15" s="21" customFormat="1" ht="18" customHeight="1">
      <c r="A139" s="68" t="s">
        <v>102</v>
      </c>
      <c r="B139" s="35">
        <f t="shared" si="42"/>
        <v>291040</v>
      </c>
      <c r="C139" s="43">
        <f t="shared" si="43"/>
        <v>7000</v>
      </c>
      <c r="D139" s="37">
        <f>CEILING(Lifestyle!BH119*Shepparton!M139,5)</f>
        <v>6715</v>
      </c>
      <c r="E139" s="37">
        <f>CEILING(Lifestyle!BK119*Shepparton!N139,5)</f>
        <v>2760</v>
      </c>
      <c r="F139" s="38">
        <f t="shared" si="44"/>
        <v>307515</v>
      </c>
      <c r="G139" s="37">
        <f>CEILING(Lifestyle!BL119*Shepparton!O139,5)</f>
        <v>5525</v>
      </c>
      <c r="H139" s="20"/>
      <c r="I139" s="39">
        <f>+Lifestyle!BB119</f>
        <v>288037</v>
      </c>
      <c r="J139" s="21">
        <f t="shared" si="45"/>
        <v>0</v>
      </c>
      <c r="K139" s="21">
        <f>+Lifestyle!BD119</f>
        <v>3000</v>
      </c>
      <c r="L139" s="21">
        <f t="shared" si="45"/>
        <v>7000</v>
      </c>
      <c r="M139" s="21">
        <f t="shared" si="45"/>
        <v>103</v>
      </c>
      <c r="N139" s="21">
        <f t="shared" si="45"/>
        <v>60</v>
      </c>
      <c r="O139" s="21">
        <f t="shared" si="45"/>
        <v>85</v>
      </c>
    </row>
    <row r="140" spans="1:15" s="21" customFormat="1" ht="18" customHeight="1">
      <c r="A140" s="68" t="s">
        <v>103</v>
      </c>
      <c r="B140" s="35">
        <f t="shared" si="42"/>
        <v>294020</v>
      </c>
      <c r="C140" s="43">
        <f t="shared" si="43"/>
        <v>7000</v>
      </c>
      <c r="D140" s="37">
        <f>CEILING(Lifestyle!BH120*Shepparton!M140,5)</f>
        <v>6790</v>
      </c>
      <c r="E140" s="37">
        <f>CEILING(Lifestyle!BK120*Shepparton!N140,5)</f>
        <v>3010</v>
      </c>
      <c r="F140" s="38">
        <f t="shared" si="44"/>
        <v>310820</v>
      </c>
      <c r="G140" s="37">
        <f>CEILING(Lifestyle!BL120*Shepparton!O140,5)</f>
        <v>5610</v>
      </c>
      <c r="H140" s="20"/>
      <c r="I140" s="39">
        <f>+Lifestyle!BB120</f>
        <v>291017</v>
      </c>
      <c r="J140" s="21">
        <f t="shared" si="45"/>
        <v>0</v>
      </c>
      <c r="K140" s="21">
        <f>+Lifestyle!BD120</f>
        <v>3000</v>
      </c>
      <c r="L140" s="21">
        <f t="shared" si="45"/>
        <v>7000</v>
      </c>
      <c r="M140" s="21">
        <f t="shared" si="45"/>
        <v>103</v>
      </c>
      <c r="N140" s="21">
        <f t="shared" si="45"/>
        <v>60</v>
      </c>
      <c r="O140" s="21">
        <f t="shared" si="45"/>
        <v>85</v>
      </c>
    </row>
    <row r="141" spans="1:15" s="21" customFormat="1" ht="18" customHeight="1">
      <c r="A141" s="68" t="s">
        <v>104</v>
      </c>
      <c r="B141" s="35">
        <f t="shared" si="42"/>
        <v>306820</v>
      </c>
      <c r="C141" s="43">
        <f t="shared" si="43"/>
        <v>7000</v>
      </c>
      <c r="D141" s="37">
        <f>CEILING(Lifestyle!BH121*Shepparton!M141,5)</f>
        <v>6995</v>
      </c>
      <c r="E141" s="37">
        <f>CEILING(Lifestyle!BK121*Shepparton!N141,5)</f>
        <v>3110</v>
      </c>
      <c r="F141" s="38">
        <f t="shared" si="44"/>
        <v>323925</v>
      </c>
      <c r="G141" s="37">
        <f>CEILING(Lifestyle!BL121*Shepparton!O141,5)</f>
        <v>5865</v>
      </c>
      <c r="H141" s="20"/>
      <c r="I141" s="39">
        <f>+Lifestyle!BB121</f>
        <v>303815</v>
      </c>
      <c r="J141" s="21">
        <f t="shared" si="45"/>
        <v>0</v>
      </c>
      <c r="K141" s="21">
        <f>+Lifestyle!BD121</f>
        <v>3000</v>
      </c>
      <c r="L141" s="21">
        <f t="shared" si="45"/>
        <v>7000</v>
      </c>
      <c r="M141" s="21">
        <f t="shared" si="45"/>
        <v>103</v>
      </c>
      <c r="N141" s="21">
        <f t="shared" si="45"/>
        <v>60</v>
      </c>
      <c r="O141" s="21">
        <f t="shared" si="45"/>
        <v>85</v>
      </c>
    </row>
    <row r="142" spans="1:15" s="21" customFormat="1" ht="18" customHeight="1">
      <c r="A142" s="68" t="s">
        <v>53</v>
      </c>
      <c r="B142" s="35">
        <f t="shared" si="42"/>
        <v>304080</v>
      </c>
      <c r="C142" s="43">
        <f t="shared" si="43"/>
        <v>7000</v>
      </c>
      <c r="D142" s="37">
        <f>CEILING(Lifestyle!BH122*Shepparton!M142,5)</f>
        <v>6515</v>
      </c>
      <c r="E142" s="37">
        <f>CEILING(Lifestyle!BK122*Shepparton!N142,5)</f>
        <v>3700</v>
      </c>
      <c r="F142" s="38">
        <f t="shared" si="44"/>
        <v>321295</v>
      </c>
      <c r="G142" s="37">
        <f>CEILING(Lifestyle!BL122*Shepparton!O142,5)</f>
        <v>4930</v>
      </c>
      <c r="H142" s="20"/>
      <c r="I142" s="39">
        <f>+Lifestyle!BB122</f>
        <v>301071</v>
      </c>
      <c r="J142" s="21">
        <f t="shared" si="45"/>
        <v>0</v>
      </c>
      <c r="K142" s="21">
        <f>+Lifestyle!BD122</f>
        <v>3000</v>
      </c>
      <c r="L142" s="21">
        <f t="shared" si="45"/>
        <v>7000</v>
      </c>
      <c r="M142" s="21">
        <f t="shared" si="45"/>
        <v>103</v>
      </c>
      <c r="N142" s="21">
        <f t="shared" si="45"/>
        <v>60</v>
      </c>
      <c r="O142" s="21">
        <f t="shared" si="45"/>
        <v>85</v>
      </c>
    </row>
    <row r="143" spans="1:15" s="21" customFormat="1" ht="18" customHeight="1">
      <c r="A143" s="68" t="s">
        <v>105</v>
      </c>
      <c r="B143" s="35">
        <f t="shared" si="42"/>
        <v>285110</v>
      </c>
      <c r="C143" s="43">
        <f t="shared" si="43"/>
        <v>7000</v>
      </c>
      <c r="D143" s="37">
        <f>CEILING(Lifestyle!BH123*Shepparton!M143,5)</f>
        <v>5775</v>
      </c>
      <c r="E143" s="37">
        <f>CEILING(Lifestyle!BK123*Shepparton!N143,5)</f>
        <v>2875</v>
      </c>
      <c r="F143" s="38">
        <f t="shared" si="44"/>
        <v>300760</v>
      </c>
      <c r="G143" s="37">
        <f>CEILING(Lifestyle!BL123*Shepparton!O143,5)</f>
        <v>4675</v>
      </c>
      <c r="H143" s="20"/>
      <c r="I143" s="39">
        <f>+Lifestyle!BB123</f>
        <v>282110</v>
      </c>
      <c r="J143" s="21">
        <f t="shared" si="45"/>
        <v>0</v>
      </c>
      <c r="K143" s="21">
        <f>+Lifestyle!BD123</f>
        <v>3000</v>
      </c>
      <c r="L143" s="21">
        <f t="shared" si="45"/>
        <v>7000</v>
      </c>
      <c r="M143" s="21">
        <f t="shared" si="45"/>
        <v>103</v>
      </c>
      <c r="N143" s="21">
        <f t="shared" si="45"/>
        <v>60</v>
      </c>
      <c r="O143" s="21">
        <f t="shared" si="45"/>
        <v>85</v>
      </c>
    </row>
    <row r="144" spans="1:15" s="21" customFormat="1" ht="18" customHeight="1">
      <c r="A144" s="68" t="s">
        <v>106</v>
      </c>
      <c r="B144" s="35">
        <f t="shared" si="42"/>
        <v>270760</v>
      </c>
      <c r="C144" s="43">
        <f t="shared" si="43"/>
        <v>7000</v>
      </c>
      <c r="D144" s="37">
        <f>CEILING(Lifestyle!BH124*Shepparton!M144,5)</f>
        <v>5785</v>
      </c>
      <c r="E144" s="37">
        <f>CEILING(Lifestyle!BK124*Shepparton!N144,5)</f>
        <v>2275</v>
      </c>
      <c r="F144" s="38">
        <f t="shared" si="44"/>
        <v>285820</v>
      </c>
      <c r="G144" s="37">
        <f>CEILING(Lifestyle!BL124*Shepparton!O144,5)</f>
        <v>4335</v>
      </c>
      <c r="H144" s="20"/>
      <c r="I144" s="39">
        <f>+Lifestyle!BB124</f>
        <v>267755</v>
      </c>
      <c r="J144" s="21">
        <f t="shared" si="45"/>
        <v>0</v>
      </c>
      <c r="K144" s="21">
        <f>+Lifestyle!BD124</f>
        <v>3000</v>
      </c>
      <c r="L144" s="21">
        <f t="shared" si="45"/>
        <v>7000</v>
      </c>
      <c r="M144" s="21">
        <f t="shared" si="45"/>
        <v>103</v>
      </c>
      <c r="N144" s="21">
        <f t="shared" si="45"/>
        <v>60</v>
      </c>
      <c r="O144" s="21">
        <f t="shared" si="45"/>
        <v>85</v>
      </c>
    </row>
    <row r="145" spans="1:15" s="21" customFormat="1" ht="18" customHeight="1">
      <c r="A145" s="68" t="s">
        <v>107</v>
      </c>
      <c r="B145" s="35">
        <f t="shared" si="42"/>
        <v>273760</v>
      </c>
      <c r="C145" s="43">
        <f t="shared" si="43"/>
        <v>7000</v>
      </c>
      <c r="D145" s="37">
        <f>CEILING(Lifestyle!BH125*Shepparton!M145,5)</f>
        <v>6405</v>
      </c>
      <c r="E145" s="37">
        <f>CEILING(Lifestyle!BK125*Shepparton!N145,5)</f>
        <v>2260</v>
      </c>
      <c r="F145" s="38">
        <f t="shared" si="44"/>
        <v>289425</v>
      </c>
      <c r="G145" s="37">
        <f>CEILING(Lifestyle!BL125*Shepparton!O145,5)</f>
        <v>4590</v>
      </c>
      <c r="H145" s="20"/>
      <c r="I145" s="39">
        <f>+Lifestyle!BB125</f>
        <v>270751</v>
      </c>
      <c r="J145" s="21">
        <f t="shared" si="45"/>
        <v>0</v>
      </c>
      <c r="K145" s="21">
        <f>+Lifestyle!BD125</f>
        <v>3000</v>
      </c>
      <c r="L145" s="21">
        <f t="shared" si="45"/>
        <v>7000</v>
      </c>
      <c r="M145" s="21">
        <f t="shared" si="45"/>
        <v>103</v>
      </c>
      <c r="N145" s="21">
        <f t="shared" si="45"/>
        <v>60</v>
      </c>
      <c r="O145" s="21">
        <f t="shared" si="45"/>
        <v>85</v>
      </c>
    </row>
    <row r="146" spans="1:15" s="21" customFormat="1" ht="15">
      <c r="C146" s="44"/>
      <c r="D146" s="44"/>
      <c r="E146" s="69"/>
      <c r="G146" s="45"/>
      <c r="H146" s="20"/>
      <c r="L146" s="39"/>
    </row>
    <row r="147" spans="1:15" s="21" customFormat="1" ht="21" customHeight="1" thickBot="1">
      <c r="A147" s="23" t="s">
        <v>1632</v>
      </c>
      <c r="B147" s="23"/>
      <c r="C147" s="23"/>
      <c r="D147" s="23"/>
      <c r="E147" s="23"/>
      <c r="F147" s="24"/>
      <c r="G147" s="25"/>
      <c r="H147" s="20"/>
      <c r="L147" s="39"/>
    </row>
    <row r="148" spans="1:15" s="21" customFormat="1" ht="91.5" customHeight="1" thickBot="1">
      <c r="A148" s="26" t="s">
        <v>175</v>
      </c>
      <c r="B148" s="27" t="s">
        <v>176</v>
      </c>
      <c r="C148" s="28" t="s">
        <v>177</v>
      </c>
      <c r="D148" s="28" t="s">
        <v>178</v>
      </c>
      <c r="E148" s="28" t="s">
        <v>179</v>
      </c>
      <c r="F148" s="29" t="s">
        <v>180</v>
      </c>
      <c r="G148" s="28" t="s">
        <v>181</v>
      </c>
      <c r="H148" s="20"/>
      <c r="L148" s="39"/>
    </row>
    <row r="149" spans="1:15" s="21" customFormat="1" ht="18" customHeight="1">
      <c r="A149" s="67" t="s">
        <v>109</v>
      </c>
      <c r="B149" s="35">
        <f t="shared" ref="B149:B156" si="46">+CEILING(I149+J149+K149,10)</f>
        <v>308710</v>
      </c>
      <c r="C149" s="36">
        <f>+L149</f>
        <v>7000</v>
      </c>
      <c r="D149" s="37">
        <f>CEILING(Lifestyle!BH129*Shepparton!M149,5)</f>
        <v>8070</v>
      </c>
      <c r="E149" s="37">
        <f>CEILING(Lifestyle!BK129*Shepparton!N149,5)</f>
        <v>2970</v>
      </c>
      <c r="F149" s="38">
        <f>SUM(B149:E149)</f>
        <v>326750</v>
      </c>
      <c r="G149" s="37">
        <f>CEILING(Lifestyle!BL129*Shepparton!O149,5)</f>
        <v>4030</v>
      </c>
      <c r="H149" s="20"/>
      <c r="I149" s="39">
        <f>+Lifestyle!BB129</f>
        <v>305702</v>
      </c>
      <c r="J149" s="21">
        <f>+J145</f>
        <v>0</v>
      </c>
      <c r="K149" s="21">
        <f>+Lifestyle!BD129</f>
        <v>3000</v>
      </c>
      <c r="L149" s="21">
        <f>+L145</f>
        <v>7000</v>
      </c>
      <c r="M149" s="21">
        <f>+M145</f>
        <v>103</v>
      </c>
      <c r="N149" s="21">
        <f>+N145</f>
        <v>60</v>
      </c>
      <c r="O149" s="21">
        <f>+O145</f>
        <v>85</v>
      </c>
    </row>
    <row r="150" spans="1:15" s="21" customFormat="1" ht="18" customHeight="1">
      <c r="A150" s="68" t="s">
        <v>110</v>
      </c>
      <c r="B150" s="35">
        <f t="shared" si="46"/>
        <v>311300</v>
      </c>
      <c r="C150" s="43">
        <f t="shared" ref="C150:C156" si="47">+L150</f>
        <v>7000</v>
      </c>
      <c r="D150" s="37">
        <f>CEILING(Lifestyle!BH130*Shepparton!M150,5)</f>
        <v>7140</v>
      </c>
      <c r="E150" s="37">
        <f>CEILING(Lifestyle!BK130*Shepparton!N150,5)</f>
        <v>3535</v>
      </c>
      <c r="F150" s="38">
        <f t="shared" ref="F150:F156" si="48">SUM(B150:E150)</f>
        <v>328975</v>
      </c>
      <c r="G150" s="37">
        <f>CEILING(Lifestyle!BL130*Shepparton!O150,5)</f>
        <v>3885</v>
      </c>
      <c r="H150" s="20"/>
      <c r="I150" s="39">
        <f>+Lifestyle!BB130</f>
        <v>308291</v>
      </c>
      <c r="J150" s="21">
        <f t="shared" ref="J150:O156" si="49">+J149</f>
        <v>0</v>
      </c>
      <c r="K150" s="21">
        <f>+Lifestyle!BD130</f>
        <v>3000</v>
      </c>
      <c r="L150" s="21">
        <f t="shared" si="49"/>
        <v>7000</v>
      </c>
      <c r="M150" s="21">
        <f t="shared" si="49"/>
        <v>103</v>
      </c>
      <c r="N150" s="21">
        <f t="shared" si="49"/>
        <v>60</v>
      </c>
      <c r="O150" s="21">
        <f t="shared" si="49"/>
        <v>85</v>
      </c>
    </row>
    <row r="151" spans="1:15" s="21" customFormat="1" ht="18" customHeight="1">
      <c r="A151" s="68" t="s">
        <v>111</v>
      </c>
      <c r="B151" s="35">
        <f t="shared" si="46"/>
        <v>328360</v>
      </c>
      <c r="C151" s="43">
        <f t="shared" si="47"/>
        <v>7000</v>
      </c>
      <c r="D151" s="37">
        <f>CEILING(Lifestyle!BH131*Shepparton!M151,5)</f>
        <v>8545</v>
      </c>
      <c r="E151" s="37">
        <f>CEILING(Lifestyle!BK131*Shepparton!N151,5)</f>
        <v>3995</v>
      </c>
      <c r="F151" s="38">
        <f t="shared" si="48"/>
        <v>347900</v>
      </c>
      <c r="G151" s="37">
        <f>CEILING(Lifestyle!BL131*Shepparton!O151,5)</f>
        <v>4125</v>
      </c>
      <c r="H151" s="20"/>
      <c r="I151" s="39">
        <f>+Lifestyle!BB131</f>
        <v>325352</v>
      </c>
      <c r="J151" s="21">
        <f t="shared" si="49"/>
        <v>0</v>
      </c>
      <c r="K151" s="21">
        <f>+Lifestyle!BD131</f>
        <v>3000</v>
      </c>
      <c r="L151" s="21">
        <f t="shared" si="49"/>
        <v>7000</v>
      </c>
      <c r="M151" s="21">
        <f t="shared" si="49"/>
        <v>103</v>
      </c>
      <c r="N151" s="21">
        <f t="shared" si="49"/>
        <v>60</v>
      </c>
      <c r="O151" s="21">
        <f t="shared" si="49"/>
        <v>85</v>
      </c>
    </row>
    <row r="152" spans="1:15" s="21" customFormat="1" ht="18" customHeight="1">
      <c r="A152" s="68" t="s">
        <v>112</v>
      </c>
      <c r="B152" s="35">
        <f t="shared" si="46"/>
        <v>324620</v>
      </c>
      <c r="C152" s="43">
        <f t="shared" si="47"/>
        <v>7000</v>
      </c>
      <c r="D152" s="37">
        <f>CEILING(Lifestyle!BH132*Shepparton!M152,5)</f>
        <v>7820</v>
      </c>
      <c r="E152" s="37">
        <f>CEILING(Lifestyle!BK132*Shepparton!N152,5)</f>
        <v>3995</v>
      </c>
      <c r="F152" s="38">
        <f t="shared" si="48"/>
        <v>343435</v>
      </c>
      <c r="G152" s="37">
        <f>CEILING(Lifestyle!BL132*Shepparton!O152,5)</f>
        <v>4125</v>
      </c>
      <c r="H152" s="20"/>
      <c r="I152" s="39">
        <f>+Lifestyle!BB132</f>
        <v>321618</v>
      </c>
      <c r="J152" s="21">
        <f t="shared" si="49"/>
        <v>0</v>
      </c>
      <c r="K152" s="21">
        <f>+Lifestyle!BD132</f>
        <v>3000</v>
      </c>
      <c r="L152" s="21">
        <f t="shared" si="49"/>
        <v>7000</v>
      </c>
      <c r="M152" s="21">
        <f t="shared" si="49"/>
        <v>103</v>
      </c>
      <c r="N152" s="21">
        <f t="shared" si="49"/>
        <v>60</v>
      </c>
      <c r="O152" s="21">
        <f t="shared" si="49"/>
        <v>85</v>
      </c>
    </row>
    <row r="153" spans="1:15" s="21" customFormat="1" ht="18" customHeight="1">
      <c r="A153" s="68" t="s">
        <v>1459</v>
      </c>
      <c r="B153" s="35">
        <f t="shared" si="46"/>
        <v>253800</v>
      </c>
      <c r="C153" s="43">
        <f t="shared" si="47"/>
        <v>7000</v>
      </c>
      <c r="D153" s="37">
        <f>CEILING(Lifestyle!BH133*Shepparton!M153,5)</f>
        <v>3270</v>
      </c>
      <c r="E153" s="37">
        <f>CEILING(Lifestyle!BK133*Shepparton!N153,5)</f>
        <v>2860</v>
      </c>
      <c r="F153" s="38">
        <f t="shared" si="48"/>
        <v>266930</v>
      </c>
      <c r="G153" s="37">
        <f>CEILING(Lifestyle!BL133*Shepparton!O153,5)</f>
        <v>3655</v>
      </c>
      <c r="H153" s="20"/>
      <c r="I153" s="39">
        <f>+Lifestyle!BB133</f>
        <v>250794</v>
      </c>
      <c r="J153" s="21">
        <f t="shared" si="49"/>
        <v>0</v>
      </c>
      <c r="K153" s="21">
        <f>+Lifestyle!BD133</f>
        <v>3000</v>
      </c>
      <c r="L153" s="21">
        <f t="shared" si="49"/>
        <v>7000</v>
      </c>
      <c r="M153" s="21">
        <f t="shared" si="49"/>
        <v>103</v>
      </c>
      <c r="N153" s="21">
        <f t="shared" si="49"/>
        <v>60</v>
      </c>
      <c r="O153" s="21">
        <f t="shared" si="49"/>
        <v>85</v>
      </c>
    </row>
    <row r="154" spans="1:15" s="21" customFormat="1" ht="18" customHeight="1">
      <c r="A154" s="68" t="s">
        <v>1460</v>
      </c>
      <c r="B154" s="35">
        <f t="shared" si="46"/>
        <v>268560</v>
      </c>
      <c r="C154" s="43">
        <f t="shared" si="47"/>
        <v>7000</v>
      </c>
      <c r="D154" s="37">
        <f>CEILING(Lifestyle!BH134*Shepparton!M154,5)</f>
        <v>3485</v>
      </c>
      <c r="E154" s="37">
        <f>CEILING(Lifestyle!BK134*Shepparton!N154,5)</f>
        <v>3615</v>
      </c>
      <c r="F154" s="38">
        <f t="shared" si="48"/>
        <v>282660</v>
      </c>
      <c r="G154" s="37">
        <f>CEILING(Lifestyle!BL134*Shepparton!O154,5)</f>
        <v>3995</v>
      </c>
      <c r="H154" s="20"/>
      <c r="I154" s="39">
        <f>+Lifestyle!BB134</f>
        <v>265551</v>
      </c>
      <c r="J154" s="21">
        <f t="shared" si="49"/>
        <v>0</v>
      </c>
      <c r="K154" s="21">
        <f>+Lifestyle!BD134</f>
        <v>3000</v>
      </c>
      <c r="L154" s="21">
        <f t="shared" si="49"/>
        <v>7000</v>
      </c>
      <c r="M154" s="21">
        <f t="shared" si="49"/>
        <v>103</v>
      </c>
      <c r="N154" s="21">
        <f t="shared" si="49"/>
        <v>60</v>
      </c>
      <c r="O154" s="21">
        <f t="shared" si="49"/>
        <v>85</v>
      </c>
    </row>
    <row r="155" spans="1:15" s="21" customFormat="1" ht="18" customHeight="1">
      <c r="A155" s="68" t="s">
        <v>1461</v>
      </c>
      <c r="B155" s="35">
        <f t="shared" si="46"/>
        <v>281830</v>
      </c>
      <c r="C155" s="43">
        <f t="shared" si="47"/>
        <v>7000</v>
      </c>
      <c r="D155" s="37">
        <f>CEILING(Lifestyle!BH135*Shepparton!M155,5)</f>
        <v>4265</v>
      </c>
      <c r="E155" s="37">
        <f>CEILING(Lifestyle!BK135*Shepparton!N155,5)</f>
        <v>4555</v>
      </c>
      <c r="F155" s="38">
        <f t="shared" si="48"/>
        <v>297650</v>
      </c>
      <c r="G155" s="37">
        <f>CEILING(Lifestyle!BL135*Shepparton!O155,5)</f>
        <v>4250</v>
      </c>
      <c r="H155" s="20"/>
      <c r="I155" s="39">
        <f>+Lifestyle!BB135</f>
        <v>278822</v>
      </c>
      <c r="J155" s="21">
        <f t="shared" si="49"/>
        <v>0</v>
      </c>
      <c r="K155" s="21">
        <f>+Lifestyle!BD135</f>
        <v>3000</v>
      </c>
      <c r="L155" s="21">
        <f t="shared" si="49"/>
        <v>7000</v>
      </c>
      <c r="M155" s="21">
        <f t="shared" si="49"/>
        <v>103</v>
      </c>
      <c r="N155" s="21">
        <f t="shared" si="49"/>
        <v>60</v>
      </c>
      <c r="O155" s="21">
        <f t="shared" si="49"/>
        <v>85</v>
      </c>
    </row>
    <row r="156" spans="1:15" s="21" customFormat="1" ht="18" customHeight="1">
      <c r="A156" s="68" t="s">
        <v>1462</v>
      </c>
      <c r="B156" s="35">
        <f t="shared" si="46"/>
        <v>300330</v>
      </c>
      <c r="C156" s="43">
        <f t="shared" si="47"/>
        <v>7000</v>
      </c>
      <c r="D156" s="37">
        <f>CEILING(Lifestyle!BH136*Shepparton!M156,5)</f>
        <v>4510</v>
      </c>
      <c r="E156" s="37">
        <f>CEILING(Lifestyle!BK136*Shepparton!N156,5)</f>
        <v>4915</v>
      </c>
      <c r="F156" s="38">
        <f t="shared" si="48"/>
        <v>316755</v>
      </c>
      <c r="G156" s="37">
        <f>CEILING(Lifestyle!BL136*Shepparton!O156,5)</f>
        <v>4760</v>
      </c>
      <c r="H156" s="20"/>
      <c r="I156" s="39">
        <f>+Lifestyle!BB136</f>
        <v>297330</v>
      </c>
      <c r="J156" s="21">
        <f t="shared" si="49"/>
        <v>0</v>
      </c>
      <c r="K156" s="21">
        <f>+Lifestyle!BD136</f>
        <v>3000</v>
      </c>
      <c r="L156" s="21">
        <f t="shared" si="49"/>
        <v>7000</v>
      </c>
      <c r="M156" s="21">
        <f t="shared" si="49"/>
        <v>103</v>
      </c>
      <c r="N156" s="21">
        <f t="shared" si="49"/>
        <v>60</v>
      </c>
      <c r="O156" s="21">
        <f t="shared" si="49"/>
        <v>85</v>
      </c>
    </row>
    <row r="157" spans="1:15" s="21" customFormat="1" ht="6" customHeight="1" thickBot="1">
      <c r="C157" s="44"/>
      <c r="D157" s="44"/>
      <c r="E157" s="44"/>
      <c r="F157" s="60"/>
      <c r="G157" s="45"/>
      <c r="H157" s="20"/>
      <c r="L157" s="39"/>
    </row>
    <row r="158" spans="1:15" s="21" customFormat="1" ht="15.75">
      <c r="A158" s="46" t="s">
        <v>187</v>
      </c>
      <c r="B158" s="47"/>
      <c r="C158" s="44"/>
      <c r="D158" s="44"/>
      <c r="E158" s="48" t="s">
        <v>188</v>
      </c>
      <c r="F158" s="49"/>
      <c r="G158" s="50"/>
      <c r="H158" s="20"/>
      <c r="L158" s="39"/>
    </row>
    <row r="159" spans="1:15" s="21" customFormat="1" ht="15">
      <c r="A159" s="51" t="s">
        <v>189</v>
      </c>
      <c r="B159" s="52"/>
      <c r="C159" s="44"/>
      <c r="D159" s="44"/>
      <c r="E159" s="53" t="s">
        <v>190</v>
      </c>
      <c r="G159" s="22"/>
      <c r="H159" s="20"/>
      <c r="L159" s="39"/>
    </row>
    <row r="160" spans="1:15" s="21" customFormat="1" ht="15">
      <c r="A160" s="51" t="s">
        <v>191</v>
      </c>
      <c r="B160" s="52"/>
      <c r="C160" s="44"/>
      <c r="D160" s="44"/>
      <c r="E160" s="53" t="s">
        <v>192</v>
      </c>
      <c r="G160" s="22"/>
      <c r="H160" s="20"/>
      <c r="L160" s="39"/>
    </row>
    <row r="161" spans="1:15" s="21" customFormat="1" ht="15">
      <c r="A161" s="51" t="s">
        <v>193</v>
      </c>
      <c r="B161" s="52"/>
      <c r="C161" s="44"/>
      <c r="D161" s="44"/>
      <c r="E161" s="53" t="s">
        <v>194</v>
      </c>
      <c r="G161" s="22"/>
      <c r="H161" s="20"/>
      <c r="L161" s="39"/>
    </row>
    <row r="162" spans="1:15" s="21" customFormat="1" ht="15">
      <c r="A162" s="51" t="s">
        <v>195</v>
      </c>
      <c r="B162" s="52"/>
      <c r="C162" s="44"/>
      <c r="D162" s="44"/>
      <c r="E162" s="53" t="s">
        <v>196</v>
      </c>
      <c r="G162" s="22"/>
      <c r="H162" s="20"/>
      <c r="L162" s="39"/>
    </row>
    <row r="163" spans="1:15" s="21" customFormat="1" ht="15">
      <c r="A163" s="51"/>
      <c r="B163" s="52"/>
      <c r="C163" s="44"/>
      <c r="D163" s="44"/>
      <c r="E163" s="53" t="s">
        <v>197</v>
      </c>
      <c r="G163" s="22"/>
      <c r="H163" s="20"/>
      <c r="L163" s="39"/>
    </row>
    <row r="164" spans="1:15" s="21" customFormat="1" ht="15.75" thickBot="1">
      <c r="A164" s="54"/>
      <c r="B164" s="55"/>
      <c r="C164" s="44"/>
      <c r="D164" s="44"/>
      <c r="E164" s="56" t="s">
        <v>198</v>
      </c>
      <c r="F164" s="57"/>
      <c r="G164" s="58"/>
      <c r="H164" s="20"/>
      <c r="L164" s="39"/>
    </row>
    <row r="165" spans="1:15">
      <c r="E165" s="64"/>
    </row>
    <row r="166" spans="1:15" s="21" customFormat="1" ht="21" customHeight="1">
      <c r="A166" s="722" t="s">
        <v>174</v>
      </c>
      <c r="B166" s="722"/>
      <c r="C166" s="722"/>
      <c r="D166" s="722"/>
      <c r="E166" s="722"/>
      <c r="F166" s="722"/>
      <c r="G166" s="722"/>
      <c r="H166" s="20"/>
    </row>
    <row r="167" spans="1:15" s="21" customFormat="1" ht="21" customHeight="1" thickBot="1">
      <c r="A167" s="23" t="s">
        <v>1633</v>
      </c>
      <c r="B167" s="23"/>
      <c r="C167" s="23"/>
      <c r="D167" s="23"/>
      <c r="E167" s="23"/>
      <c r="F167" s="24"/>
      <c r="G167" s="25"/>
      <c r="H167" s="20"/>
      <c r="L167" s="39"/>
    </row>
    <row r="168" spans="1:15" s="21" customFormat="1" ht="91.5" customHeight="1" thickBot="1">
      <c r="A168" s="26" t="s">
        <v>175</v>
      </c>
      <c r="B168" s="27" t="s">
        <v>176</v>
      </c>
      <c r="C168" s="28" t="s">
        <v>177</v>
      </c>
      <c r="D168" s="28" t="s">
        <v>178</v>
      </c>
      <c r="E168" s="28" t="s">
        <v>179</v>
      </c>
      <c r="F168" s="29" t="s">
        <v>180</v>
      </c>
      <c r="G168" s="28" t="s">
        <v>181</v>
      </c>
      <c r="H168" s="20"/>
      <c r="L168" s="39"/>
    </row>
    <row r="169" spans="1:15" s="21" customFormat="1" ht="18" customHeight="1">
      <c r="A169" s="68" t="s">
        <v>118</v>
      </c>
      <c r="B169" s="35">
        <f t="shared" ref="B169:B171" si="50">+CEILING(I169+J169+K169,10)</f>
        <v>479810</v>
      </c>
      <c r="C169" s="36">
        <f>+L169</f>
        <v>7000</v>
      </c>
      <c r="D169" s="37">
        <f>CEILING(M169*Lifestyle!BH145,5)</f>
        <v>7675</v>
      </c>
      <c r="E169" s="37">
        <f>CEILING(N169*Lifestyle!BK145,5)</f>
        <v>5885</v>
      </c>
      <c r="F169" s="38">
        <f>SUM(B169:E169)</f>
        <v>500370</v>
      </c>
      <c r="G169" s="37">
        <f>CEILING(O169*Lifestyle!BL145,5)</f>
        <v>6715</v>
      </c>
      <c r="H169" s="20"/>
      <c r="I169" s="39">
        <f>+Lifestyle!BB145</f>
        <v>475810</v>
      </c>
      <c r="J169" s="21">
        <f>+J156</f>
        <v>0</v>
      </c>
      <c r="K169" s="21">
        <f>+Lifestyle!BD145</f>
        <v>4000</v>
      </c>
      <c r="L169" s="21">
        <f>+L156</f>
        <v>7000</v>
      </c>
      <c r="M169" s="21">
        <f>+M156</f>
        <v>103</v>
      </c>
      <c r="N169" s="21">
        <f>+N156</f>
        <v>60</v>
      </c>
      <c r="O169" s="21">
        <f>+O156</f>
        <v>85</v>
      </c>
    </row>
    <row r="170" spans="1:15" s="21" customFormat="1" ht="18" customHeight="1">
      <c r="A170" s="68" t="s">
        <v>119</v>
      </c>
      <c r="B170" s="35">
        <f t="shared" si="50"/>
        <v>514900</v>
      </c>
      <c r="C170" s="43">
        <f>+L170</f>
        <v>7000</v>
      </c>
      <c r="D170" s="37">
        <f>CEILING(M170*Lifestyle!BH146,5)</f>
        <v>7685</v>
      </c>
      <c r="E170" s="37">
        <f>CEILING(N170*Lifestyle!BK146,5)</f>
        <v>6990</v>
      </c>
      <c r="F170" s="38">
        <f>SUM(B170:E170)</f>
        <v>536575</v>
      </c>
      <c r="G170" s="37">
        <f>CEILING(O170*Lifestyle!BL146,5)</f>
        <v>6375</v>
      </c>
      <c r="H170" s="20"/>
      <c r="I170" s="39">
        <f>+Lifestyle!BB146</f>
        <v>510900</v>
      </c>
      <c r="J170" s="21">
        <f t="shared" ref="J170:O171" si="51">+J169</f>
        <v>0</v>
      </c>
      <c r="K170" s="21">
        <f>+Lifestyle!BD146</f>
        <v>4000</v>
      </c>
      <c r="L170" s="21">
        <f t="shared" si="51"/>
        <v>7000</v>
      </c>
      <c r="M170" s="21">
        <f t="shared" si="51"/>
        <v>103</v>
      </c>
      <c r="N170" s="21">
        <f t="shared" si="51"/>
        <v>60</v>
      </c>
      <c r="O170" s="21">
        <f t="shared" si="51"/>
        <v>85</v>
      </c>
    </row>
    <row r="171" spans="1:15" s="21" customFormat="1" ht="18" customHeight="1">
      <c r="A171" s="68" t="s">
        <v>120</v>
      </c>
      <c r="B171" s="35">
        <f t="shared" si="50"/>
        <v>520800</v>
      </c>
      <c r="C171" s="43">
        <f>+L171</f>
        <v>7000</v>
      </c>
      <c r="D171" s="37">
        <f>CEILING(M171*Lifestyle!BH147,5)</f>
        <v>7670</v>
      </c>
      <c r="E171" s="37">
        <f>CEILING(N171*Lifestyle!BK147,5)</f>
        <v>8565</v>
      </c>
      <c r="F171" s="38">
        <f>SUM(B171:E171)</f>
        <v>544035</v>
      </c>
      <c r="G171" s="37">
        <f>CEILING(O171*Lifestyle!BL147,5)</f>
        <v>6250</v>
      </c>
      <c r="H171" s="20"/>
      <c r="I171" s="39">
        <f>+Lifestyle!BB147</f>
        <v>516800</v>
      </c>
      <c r="J171" s="21">
        <f t="shared" si="51"/>
        <v>0</v>
      </c>
      <c r="K171" s="21">
        <f>+Lifestyle!BD147</f>
        <v>4000</v>
      </c>
      <c r="L171" s="21">
        <f t="shared" si="51"/>
        <v>7000</v>
      </c>
      <c r="M171" s="21">
        <f t="shared" si="51"/>
        <v>103</v>
      </c>
      <c r="N171" s="21">
        <f t="shared" si="51"/>
        <v>60</v>
      </c>
      <c r="O171" s="21">
        <f t="shared" si="51"/>
        <v>85</v>
      </c>
    </row>
    <row r="172" spans="1:15" s="21" customFormat="1" ht="6" customHeight="1" thickBot="1">
      <c r="C172" s="44"/>
      <c r="D172" s="44"/>
      <c r="E172" s="44"/>
      <c r="F172" s="60"/>
      <c r="G172" s="45"/>
      <c r="H172" s="20"/>
      <c r="L172" s="39"/>
    </row>
    <row r="173" spans="1:15" s="21" customFormat="1" ht="15.75">
      <c r="A173" s="46" t="s">
        <v>187</v>
      </c>
      <c r="B173" s="47"/>
      <c r="C173" s="44"/>
      <c r="D173" s="44"/>
      <c r="E173" s="48" t="s">
        <v>188</v>
      </c>
      <c r="F173" s="49"/>
      <c r="G173" s="50"/>
      <c r="H173" s="20"/>
      <c r="L173" s="39"/>
    </row>
    <row r="174" spans="1:15" s="21" customFormat="1" ht="15">
      <c r="A174" s="51" t="s">
        <v>189</v>
      </c>
      <c r="B174" s="52"/>
      <c r="C174" s="44"/>
      <c r="D174" s="44"/>
      <c r="E174" s="53" t="s">
        <v>190</v>
      </c>
      <c r="G174" s="22"/>
      <c r="H174" s="20"/>
      <c r="L174" s="39"/>
    </row>
    <row r="175" spans="1:15" s="21" customFormat="1" ht="15">
      <c r="A175" s="51" t="s">
        <v>191</v>
      </c>
      <c r="B175" s="52"/>
      <c r="C175" s="44"/>
      <c r="D175" s="44"/>
      <c r="E175" s="53" t="s">
        <v>192</v>
      </c>
      <c r="G175" s="22"/>
      <c r="H175" s="20"/>
      <c r="L175" s="39"/>
    </row>
    <row r="176" spans="1:15" s="21" customFormat="1" ht="15">
      <c r="A176" s="51" t="s">
        <v>193</v>
      </c>
      <c r="B176" s="52"/>
      <c r="C176" s="44"/>
      <c r="D176" s="44"/>
      <c r="E176" s="53" t="s">
        <v>194</v>
      </c>
      <c r="G176" s="22"/>
      <c r="H176" s="20"/>
      <c r="L176" s="39"/>
    </row>
    <row r="177" spans="1:12" s="21" customFormat="1" ht="15">
      <c r="A177" s="51" t="s">
        <v>195</v>
      </c>
      <c r="B177" s="52"/>
      <c r="C177" s="44"/>
      <c r="D177" s="44"/>
      <c r="E177" s="53" t="s">
        <v>196</v>
      </c>
      <c r="G177" s="22"/>
      <c r="H177" s="20"/>
      <c r="L177" s="39"/>
    </row>
    <row r="178" spans="1:12" s="21" customFormat="1" ht="15">
      <c r="A178" s="51"/>
      <c r="B178" s="52"/>
      <c r="C178" s="44"/>
      <c r="D178" s="44"/>
      <c r="E178" s="53" t="s">
        <v>197</v>
      </c>
      <c r="G178" s="22"/>
      <c r="H178" s="20"/>
      <c r="L178" s="39"/>
    </row>
    <row r="179" spans="1:12" s="21" customFormat="1" ht="15.75" thickBot="1">
      <c r="A179" s="54"/>
      <c r="B179" s="55"/>
      <c r="C179" s="44"/>
      <c r="D179" s="44"/>
      <c r="E179" s="56" t="s">
        <v>198</v>
      </c>
      <c r="F179" s="57"/>
      <c r="G179" s="58"/>
      <c r="H179" s="20"/>
      <c r="L179" s="39"/>
    </row>
    <row r="180" spans="1:12">
      <c r="E180" s="64"/>
    </row>
    <row r="181" spans="1:12">
      <c r="E181" s="64"/>
    </row>
    <row r="182" spans="1:12" ht="18">
      <c r="A182" s="400" t="s">
        <v>1187</v>
      </c>
      <c r="E182" s="64"/>
    </row>
    <row r="183" spans="1:12">
      <c r="E183" s="64"/>
    </row>
    <row r="184" spans="1:12">
      <c r="E184" s="64"/>
    </row>
    <row r="185" spans="1:12">
      <c r="E185" s="64"/>
    </row>
    <row r="186" spans="1:12">
      <c r="E186" s="64"/>
    </row>
    <row r="187" spans="1:12">
      <c r="E187" s="64"/>
    </row>
    <row r="188" spans="1:12">
      <c r="E188" s="64"/>
    </row>
    <row r="189" spans="1:12">
      <c r="E189" s="64"/>
    </row>
    <row r="190" spans="1:12">
      <c r="E190" s="64"/>
    </row>
    <row r="191" spans="1:12">
      <c r="E191" s="64"/>
    </row>
    <row r="192" spans="1:12">
      <c r="E192" s="64"/>
    </row>
    <row r="193" spans="5:5">
      <c r="E193" s="64"/>
    </row>
    <row r="194" spans="5:5">
      <c r="E194" s="64"/>
    </row>
    <row r="195" spans="5:5">
      <c r="E195" s="64"/>
    </row>
    <row r="196" spans="5:5">
      <c r="E196" s="64"/>
    </row>
    <row r="197" spans="5:5">
      <c r="E197" s="64"/>
    </row>
    <row r="198" spans="5:5">
      <c r="E198" s="64"/>
    </row>
    <row r="199" spans="5:5">
      <c r="E199" s="64"/>
    </row>
    <row r="200" spans="5:5">
      <c r="E200" s="64"/>
    </row>
    <row r="201" spans="5:5">
      <c r="E201" s="64"/>
    </row>
    <row r="202" spans="5:5">
      <c r="E202" s="64"/>
    </row>
    <row r="203" spans="5:5">
      <c r="E203" s="64"/>
    </row>
    <row r="204" spans="5:5">
      <c r="E204" s="64"/>
    </row>
    <row r="205" spans="5:5">
      <c r="E205" s="64"/>
    </row>
    <row r="206" spans="5:5">
      <c r="E206" s="64"/>
    </row>
    <row r="207" spans="5:5">
      <c r="E207" s="64"/>
    </row>
    <row r="208" spans="5:5">
      <c r="E208" s="64"/>
    </row>
    <row r="209" spans="5:5">
      <c r="E209" s="64"/>
    </row>
    <row r="210" spans="5:5">
      <c r="E210" s="64"/>
    </row>
    <row r="211" spans="5:5">
      <c r="E211" s="64"/>
    </row>
    <row r="212" spans="5:5">
      <c r="E212" s="64"/>
    </row>
    <row r="213" spans="5:5">
      <c r="E213" s="64"/>
    </row>
    <row r="214" spans="5:5">
      <c r="E214" s="64"/>
    </row>
  </sheetData>
  <sheetProtection algorithmName="SHA-512" hashValue="aYU34GuBCDykgHQ3Wyqf8Zy9vAw0cAJ2tzrn+ynnjIUgNkeFX1ecg/mlBi3TUCRfc/9ZxQGNeDU6ZLVHpCx3Mw==" saltValue="ckjZeZsMAUonrx8LG1SPfg==" spinCount="100000" sheet="1" selectLockedCells="1" selectUnlockedCells="1"/>
  <mergeCells count="5">
    <mergeCell ref="A166:G166"/>
    <mergeCell ref="A1:G1"/>
    <mergeCell ref="A48:G48"/>
    <mergeCell ref="A92:G92"/>
    <mergeCell ref="A127:G127"/>
  </mergeCells>
  <phoneticPr fontId="57" type="noConversion"/>
  <pageMargins left="0.70866141732283472" right="0.70866141732283472" top="0.59055118110236227" bottom="0.15748031496062992" header="0.31496062992125984" footer="0.31496062992125984"/>
  <pageSetup paperSize="9" scale="90" fitToHeight="0" orientation="portrait" horizontalDpi="1200" r:id="rId1"/>
  <headerFooter>
    <oddHeader>&amp;LCAVALIER HOMES GOULBURN VALLEY PTY. LTD.&amp;R&amp;G</oddHeader>
  </headerFooter>
  <rowBreaks count="4" manualBreakCount="4">
    <brk id="47" max="6" man="1"/>
    <brk id="91" max="6" man="1"/>
    <brk id="126" max="6" man="1"/>
    <brk id="165" max="6" man="1"/>
  </rowBreaks>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98FEE-7044-4DE1-9536-B8793064BC1B}">
  <sheetPr codeName="Sheet24"/>
  <dimension ref="A1:Q17"/>
  <sheetViews>
    <sheetView zoomScaleNormal="100" workbookViewId="0">
      <selection sqref="A1:G1"/>
    </sheetView>
  </sheetViews>
  <sheetFormatPr defaultRowHeight="15"/>
  <cols>
    <col min="1" max="1" width="13.28515625" customWidth="1"/>
    <col min="3" max="3" width="11" bestFit="1" customWidth="1"/>
    <col min="11" max="11" width="12.140625" customWidth="1"/>
  </cols>
  <sheetData>
    <row r="1" spans="1:17" s="21" customFormat="1" ht="21" thickBot="1">
      <c r="A1" s="23" t="s">
        <v>1634</v>
      </c>
      <c r="B1" s="23"/>
      <c r="C1" s="23"/>
      <c r="D1" s="23"/>
      <c r="E1" s="23"/>
      <c r="I1" s="24"/>
      <c r="J1" s="723"/>
      <c r="K1" s="723"/>
      <c r="L1" s="70"/>
      <c r="M1" s="70"/>
    </row>
    <row r="2" spans="1:17" s="21" customFormat="1" ht="90" thickBot="1">
      <c r="A2" s="71" t="s">
        <v>175</v>
      </c>
      <c r="B2" s="72" t="s">
        <v>176</v>
      </c>
      <c r="C2" s="73" t="s">
        <v>199</v>
      </c>
      <c r="D2" s="74" t="s">
        <v>200</v>
      </c>
      <c r="E2" s="75" t="s">
        <v>201</v>
      </c>
      <c r="F2" s="74" t="s">
        <v>202</v>
      </c>
      <c r="G2" s="74" t="s">
        <v>203</v>
      </c>
      <c r="H2" s="74" t="s">
        <v>204</v>
      </c>
      <c r="I2" s="74" t="s">
        <v>205</v>
      </c>
      <c r="J2" s="74" t="s">
        <v>206</v>
      </c>
      <c r="K2" s="76" t="s">
        <v>207</v>
      </c>
      <c r="O2" s="33" t="s">
        <v>208</v>
      </c>
      <c r="P2" s="33" t="s">
        <v>209</v>
      </c>
      <c r="Q2" s="33" t="s">
        <v>210</v>
      </c>
    </row>
    <row r="3" spans="1:17" s="21" customFormat="1">
      <c r="A3" s="77" t="s">
        <v>1459</v>
      </c>
      <c r="B3" s="78">
        <f>+CEILING(N3+M3,10)</f>
        <v>242360</v>
      </c>
      <c r="C3" s="79">
        <f>+O3</f>
        <v>8400</v>
      </c>
      <c r="D3" s="80">
        <f>+CEILING(Lifestyle!BH139*Investor!P3,5)</f>
        <v>3015</v>
      </c>
      <c r="E3" s="81">
        <f>+CEILING(Lifestyle!BK139*Investor!Q3,5)</f>
        <v>2670</v>
      </c>
      <c r="F3" s="81">
        <f>9*195</f>
        <v>1755</v>
      </c>
      <c r="G3" s="81">
        <f>+Electrical!D17</f>
        <v>590</v>
      </c>
      <c r="H3" s="81" t="s">
        <v>211</v>
      </c>
      <c r="I3" s="81">
        <f>+'Yard Items'!D33</f>
        <v>400</v>
      </c>
      <c r="J3" s="81">
        <f>+'Yard Items'!D29</f>
        <v>150</v>
      </c>
      <c r="K3" s="82">
        <f>SUM(B3:J3)</f>
        <v>259340</v>
      </c>
      <c r="M3" s="21">
        <v>6000</v>
      </c>
      <c r="N3" s="83">
        <f>+Lifestyle!BB139</f>
        <v>236357</v>
      </c>
      <c r="O3" s="21">
        <f>60*140</f>
        <v>8400</v>
      </c>
      <c r="P3" s="39">
        <v>95</v>
      </c>
      <c r="Q3" s="84">
        <v>56</v>
      </c>
    </row>
    <row r="4" spans="1:17" s="21" customFormat="1">
      <c r="A4" s="85" t="s">
        <v>1460</v>
      </c>
      <c r="B4" s="78">
        <f>+CEILING(N4+M4,10)</f>
        <v>260930</v>
      </c>
      <c r="C4" s="79">
        <f>+O4</f>
        <v>8400</v>
      </c>
      <c r="D4" s="80">
        <f>+CEILING(Lifestyle!BH140*Investor!P4,5)</f>
        <v>3215</v>
      </c>
      <c r="E4" s="81">
        <f>+CEILING(Lifestyle!BK140*Investor!Q4,5)</f>
        <v>3375</v>
      </c>
      <c r="F4" s="87">
        <f>10*195</f>
        <v>1950</v>
      </c>
      <c r="G4" s="81">
        <f>+G3</f>
        <v>590</v>
      </c>
      <c r="H4" s="87" t="s">
        <v>211</v>
      </c>
      <c r="I4" s="87">
        <f t="shared" ref="I4:J6" si="0">+I3</f>
        <v>400</v>
      </c>
      <c r="J4" s="86">
        <f t="shared" si="0"/>
        <v>150</v>
      </c>
      <c r="K4" s="88">
        <f>SUM(B4:J4)</f>
        <v>279010</v>
      </c>
      <c r="M4" s="21">
        <f>+M3</f>
        <v>6000</v>
      </c>
      <c r="N4" s="83">
        <f>+Lifestyle!BB140</f>
        <v>254927</v>
      </c>
      <c r="O4" s="21">
        <f t="shared" ref="O4:Q6" si="1">+O3</f>
        <v>8400</v>
      </c>
      <c r="P4" s="39">
        <f t="shared" si="1"/>
        <v>95</v>
      </c>
      <c r="Q4" s="39">
        <f t="shared" si="1"/>
        <v>56</v>
      </c>
    </row>
    <row r="5" spans="1:17" s="21" customFormat="1">
      <c r="A5" s="85" t="s">
        <v>1461</v>
      </c>
      <c r="B5" s="78">
        <f>+CEILING(N5+M5,10)</f>
        <v>279100</v>
      </c>
      <c r="C5" s="79">
        <f>+O5</f>
        <v>8400</v>
      </c>
      <c r="D5" s="80">
        <f>+CEILING(Lifestyle!BH141*Investor!P5,5)</f>
        <v>3935</v>
      </c>
      <c r="E5" s="81">
        <f>+CEILING(Lifestyle!BK141*Investor!Q5,5)</f>
        <v>4255</v>
      </c>
      <c r="F5" s="87">
        <f>11*195</f>
        <v>2145</v>
      </c>
      <c r="G5" s="81">
        <f>+G4</f>
        <v>590</v>
      </c>
      <c r="H5" s="87" t="s">
        <v>211</v>
      </c>
      <c r="I5" s="87">
        <f t="shared" si="0"/>
        <v>400</v>
      </c>
      <c r="J5" s="86">
        <f t="shared" si="0"/>
        <v>150</v>
      </c>
      <c r="K5" s="89">
        <f>SUM(B5:J5)</f>
        <v>298975</v>
      </c>
      <c r="L5" s="90"/>
      <c r="M5" s="21">
        <f>+M4</f>
        <v>6000</v>
      </c>
      <c r="N5" s="83">
        <f>+Lifestyle!BB141</f>
        <v>273100</v>
      </c>
      <c r="O5" s="21">
        <f t="shared" si="1"/>
        <v>8400</v>
      </c>
      <c r="P5" s="39">
        <f t="shared" si="1"/>
        <v>95</v>
      </c>
      <c r="Q5" s="39">
        <f t="shared" si="1"/>
        <v>56</v>
      </c>
    </row>
    <row r="6" spans="1:17" s="21" customFormat="1" ht="15.75" thickBot="1">
      <c r="A6" s="91" t="s">
        <v>1462</v>
      </c>
      <c r="B6" s="78">
        <f>+CEILING(N6+M6,10)</f>
        <v>288830</v>
      </c>
      <c r="C6" s="79">
        <f>+O6</f>
        <v>8400</v>
      </c>
      <c r="D6" s="80">
        <f>+CEILING(Lifestyle!BH142*Investor!P6,5)</f>
        <v>4160</v>
      </c>
      <c r="E6" s="81">
        <f>+CEILING(Lifestyle!BK142*Investor!Q6,5)</f>
        <v>4590</v>
      </c>
      <c r="F6" s="93">
        <f>12*195</f>
        <v>2340</v>
      </c>
      <c r="G6" s="81">
        <f>+G5</f>
        <v>590</v>
      </c>
      <c r="H6" s="92">
        <v>4150</v>
      </c>
      <c r="I6" s="87">
        <f t="shared" si="0"/>
        <v>400</v>
      </c>
      <c r="J6" s="86">
        <f t="shared" si="0"/>
        <v>150</v>
      </c>
      <c r="K6" s="94">
        <f>SUM(B6:J6)</f>
        <v>313610</v>
      </c>
      <c r="L6" s="90"/>
      <c r="M6" s="21">
        <f>+M5</f>
        <v>6000</v>
      </c>
      <c r="N6" s="83">
        <f>+Lifestyle!BB142</f>
        <v>282822</v>
      </c>
      <c r="O6" s="21">
        <f t="shared" si="1"/>
        <v>8400</v>
      </c>
      <c r="P6" s="39">
        <f t="shared" si="1"/>
        <v>95</v>
      </c>
      <c r="Q6" s="39">
        <f t="shared" si="1"/>
        <v>56</v>
      </c>
    </row>
    <row r="7" spans="1:17" s="21" customFormat="1">
      <c r="A7" s="95" t="s">
        <v>212</v>
      </c>
      <c r="B7" s="96"/>
      <c r="C7" s="96"/>
      <c r="D7" s="44"/>
      <c r="E7" s="44"/>
      <c r="F7" s="96"/>
      <c r="G7" s="96"/>
      <c r="H7" s="44"/>
      <c r="I7" s="96"/>
      <c r="J7" s="97"/>
      <c r="P7" s="39"/>
      <c r="Q7" s="39"/>
    </row>
    <row r="8" spans="1:17" s="21" customFormat="1" ht="15.75" thickBot="1">
      <c r="A8" s="95"/>
      <c r="B8" s="44"/>
      <c r="C8" s="44"/>
      <c r="D8" s="44"/>
      <c r="E8" s="44"/>
      <c r="F8" s="44"/>
      <c r="G8" s="44"/>
      <c r="H8" s="44"/>
      <c r="I8" s="44"/>
      <c r="J8" s="45"/>
      <c r="P8" s="39"/>
      <c r="Q8" s="39"/>
    </row>
    <row r="9" spans="1:17" s="21" customFormat="1" ht="21.75" thickBot="1">
      <c r="A9" s="376" t="s">
        <v>851</v>
      </c>
      <c r="B9" s="377"/>
      <c r="C9" s="378"/>
      <c r="D9" s="378"/>
      <c r="E9" s="378"/>
      <c r="F9" s="378"/>
      <c r="G9" s="379"/>
      <c r="H9" s="380"/>
      <c r="I9" s="378"/>
      <c r="J9" s="381"/>
      <c r="O9" s="39"/>
      <c r="P9" s="39"/>
    </row>
    <row r="10" spans="1:17" s="21" customFormat="1" ht="21.75" thickBot="1">
      <c r="A10" s="376" t="s">
        <v>1188</v>
      </c>
      <c r="B10" s="377"/>
      <c r="C10" s="378"/>
      <c r="D10" s="378"/>
      <c r="E10" s="378"/>
      <c r="F10" s="378"/>
      <c r="G10" s="379"/>
      <c r="H10" s="380"/>
      <c r="I10" s="378"/>
      <c r="J10" s="381"/>
      <c r="O10" s="39"/>
      <c r="P10" s="39"/>
    </row>
    <row r="11" spans="1:17" s="21" customFormat="1">
      <c r="A11" s="98"/>
      <c r="D11" s="44"/>
      <c r="E11" s="44"/>
      <c r="G11" s="95"/>
      <c r="H11" s="44"/>
      <c r="I11" s="44"/>
      <c r="J11" s="45"/>
      <c r="O11" s="39"/>
      <c r="P11" s="39"/>
    </row>
    <row r="12" spans="1:17" ht="21" thickBot="1">
      <c r="A12" s="23" t="s">
        <v>1222</v>
      </c>
    </row>
    <row r="13" spans="1:17" ht="15.75" thickBot="1">
      <c r="A13" s="730" t="s">
        <v>1225</v>
      </c>
      <c r="B13" s="731"/>
      <c r="C13" s="431" t="s">
        <v>1223</v>
      </c>
      <c r="D13" s="432" t="s">
        <v>1212</v>
      </c>
    </row>
    <row r="14" spans="1:17">
      <c r="A14" s="724" t="str">
        <f>+Landscaping!B14</f>
        <v>600m2 normal block</v>
      </c>
      <c r="B14" s="725"/>
      <c r="C14" s="428">
        <f>+Landscaping!C14</f>
        <v>24535</v>
      </c>
      <c r="D14" s="428">
        <f>+Landscaping!D14</f>
        <v>27985</v>
      </c>
      <c r="F14" s="433" t="s">
        <v>1224</v>
      </c>
      <c r="G14" s="275"/>
      <c r="H14" s="275"/>
      <c r="I14" s="275"/>
      <c r="J14" s="288"/>
    </row>
    <row r="15" spans="1:17" ht="15.75" thickBot="1">
      <c r="A15" s="726" t="str">
        <f>+Landscaping!B15</f>
        <v>600m2 corner block</v>
      </c>
      <c r="B15" s="727"/>
      <c r="C15" s="429">
        <f>+Landscaping!C15</f>
        <v>27135</v>
      </c>
      <c r="D15" s="429">
        <f>+Landscaping!D15</f>
        <v>30585</v>
      </c>
      <c r="F15" s="434" t="s">
        <v>1227</v>
      </c>
      <c r="G15" s="268"/>
      <c r="H15" s="268"/>
      <c r="I15" s="268"/>
      <c r="J15" s="435"/>
    </row>
    <row r="16" spans="1:17">
      <c r="A16" s="726" t="str">
        <f>+Landscaping!B16</f>
        <v>800m2 normal block</v>
      </c>
      <c r="B16" s="727"/>
      <c r="C16" s="429">
        <f>+Landscaping!C16</f>
        <v>29385</v>
      </c>
      <c r="D16" s="429">
        <f>+Landscaping!D16</f>
        <v>34110</v>
      </c>
    </row>
    <row r="17" spans="1:4" ht="15.75" thickBot="1">
      <c r="A17" s="728" t="str">
        <f>+Landscaping!B17</f>
        <v>800m2 corner block</v>
      </c>
      <c r="B17" s="729"/>
      <c r="C17" s="430">
        <f>+Landscaping!C17</f>
        <v>32010</v>
      </c>
      <c r="D17" s="430">
        <f>+Landscaping!D17</f>
        <v>36735</v>
      </c>
    </row>
  </sheetData>
  <sheetProtection algorithmName="SHA-512" hashValue="MC0LNg8Jts9et2Ss9gYc2korEkJrK4RwvbyK5Bx4/93Nh6HoPvCaHJFDP1UWz2wcBtbr9FIh5vc36YTS6xYd/A==" saltValue="JHz4VVhou9u/MCQmV+8Z/g==" spinCount="100000" sheet="1" objects="1" scenarios="1"/>
  <mergeCells count="6">
    <mergeCell ref="J1:K1"/>
    <mergeCell ref="A14:B14"/>
    <mergeCell ref="A15:B15"/>
    <mergeCell ref="A16:B16"/>
    <mergeCell ref="A17:B17"/>
    <mergeCell ref="A13:B13"/>
  </mergeCells>
  <pageMargins left="0.7" right="0.7" top="0.75" bottom="0.75" header="0.3" footer="0.3"/>
  <pageSetup paperSize="9" orientation="landscape" horizont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1CCC4-0DD3-4781-BC62-773EE4B1F6E9}">
  <sheetPr codeName="Sheet4">
    <pageSetUpPr fitToPage="1"/>
  </sheetPr>
  <dimension ref="A1:O194"/>
  <sheetViews>
    <sheetView topLeftCell="A5" zoomScaleNormal="100" workbookViewId="0">
      <selection activeCell="K9" sqref="K9"/>
    </sheetView>
  </sheetViews>
  <sheetFormatPr defaultRowHeight="13.5" customHeight="1"/>
  <cols>
    <col min="1" max="1" width="19.85546875" style="63" customWidth="1"/>
    <col min="2" max="2" width="15.7109375" style="63" customWidth="1"/>
    <col min="3" max="4" width="10.7109375" style="64" customWidth="1"/>
    <col min="5" max="5" width="10.7109375" style="65" customWidth="1"/>
    <col min="6" max="6" width="16.85546875" style="66" bestFit="1" customWidth="1"/>
    <col min="7" max="7" width="10.7109375" style="66" customWidth="1"/>
    <col min="8" max="9" width="9.140625" style="63"/>
    <col min="10" max="11" width="8.7109375" style="63" customWidth="1"/>
    <col min="12" max="12" width="9.140625" style="63"/>
    <col min="13" max="13" width="11.28515625" style="63" customWidth="1"/>
    <col min="14" max="257" width="9.140625" style="63"/>
    <col min="258" max="258" width="22.28515625" style="63" customWidth="1"/>
    <col min="259" max="259" width="19" style="63" customWidth="1"/>
    <col min="260" max="262" width="12.7109375" style="63" customWidth="1"/>
    <col min="263" max="263" width="17.85546875" style="63" customWidth="1"/>
    <col min="264" max="264" width="12.7109375" style="63" customWidth="1"/>
    <col min="265" max="268" width="9.140625" style="63"/>
    <col min="269" max="269" width="11.28515625" style="63" customWidth="1"/>
    <col min="270" max="513" width="9.140625" style="63"/>
    <col min="514" max="514" width="22.28515625" style="63" customWidth="1"/>
    <col min="515" max="515" width="19" style="63" customWidth="1"/>
    <col min="516" max="518" width="12.7109375" style="63" customWidth="1"/>
    <col min="519" max="519" width="17.85546875" style="63" customWidth="1"/>
    <col min="520" max="520" width="12.7109375" style="63" customWidth="1"/>
    <col min="521" max="524" width="9.140625" style="63"/>
    <col min="525" max="525" width="11.28515625" style="63" customWidth="1"/>
    <col min="526" max="769" width="9.140625" style="63"/>
    <col min="770" max="770" width="22.28515625" style="63" customWidth="1"/>
    <col min="771" max="771" width="19" style="63" customWidth="1"/>
    <col min="772" max="774" width="12.7109375" style="63" customWidth="1"/>
    <col min="775" max="775" width="17.85546875" style="63" customWidth="1"/>
    <col min="776" max="776" width="12.7109375" style="63" customWidth="1"/>
    <col min="777" max="780" width="9.140625" style="63"/>
    <col min="781" max="781" width="11.28515625" style="63" customWidth="1"/>
    <col min="782" max="1025" width="9.140625" style="63"/>
    <col min="1026" max="1026" width="22.28515625" style="63" customWidth="1"/>
    <col min="1027" max="1027" width="19" style="63" customWidth="1"/>
    <col min="1028" max="1030" width="12.7109375" style="63" customWidth="1"/>
    <col min="1031" max="1031" width="17.85546875" style="63" customWidth="1"/>
    <col min="1032" max="1032" width="12.7109375" style="63" customWidth="1"/>
    <col min="1033" max="1036" width="9.140625" style="63"/>
    <col min="1037" max="1037" width="11.28515625" style="63" customWidth="1"/>
    <col min="1038" max="1281" width="9.140625" style="63"/>
    <col min="1282" max="1282" width="22.28515625" style="63" customWidth="1"/>
    <col min="1283" max="1283" width="19" style="63" customWidth="1"/>
    <col min="1284" max="1286" width="12.7109375" style="63" customWidth="1"/>
    <col min="1287" max="1287" width="17.85546875" style="63" customWidth="1"/>
    <col min="1288" max="1288" width="12.7109375" style="63" customWidth="1"/>
    <col min="1289" max="1292" width="9.140625" style="63"/>
    <col min="1293" max="1293" width="11.28515625" style="63" customWidth="1"/>
    <col min="1294" max="1537" width="9.140625" style="63"/>
    <col min="1538" max="1538" width="22.28515625" style="63" customWidth="1"/>
    <col min="1539" max="1539" width="19" style="63" customWidth="1"/>
    <col min="1540" max="1542" width="12.7109375" style="63" customWidth="1"/>
    <col min="1543" max="1543" width="17.85546875" style="63" customWidth="1"/>
    <col min="1544" max="1544" width="12.7109375" style="63" customWidth="1"/>
    <col min="1545" max="1548" width="9.140625" style="63"/>
    <col min="1549" max="1549" width="11.28515625" style="63" customWidth="1"/>
    <col min="1550" max="1793" width="9.140625" style="63"/>
    <col min="1794" max="1794" width="22.28515625" style="63" customWidth="1"/>
    <col min="1795" max="1795" width="19" style="63" customWidth="1"/>
    <col min="1796" max="1798" width="12.7109375" style="63" customWidth="1"/>
    <col min="1799" max="1799" width="17.85546875" style="63" customWidth="1"/>
    <col min="1800" max="1800" width="12.7109375" style="63" customWidth="1"/>
    <col min="1801" max="1804" width="9.140625" style="63"/>
    <col min="1805" max="1805" width="11.28515625" style="63" customWidth="1"/>
    <col min="1806" max="2049" width="9.140625" style="63"/>
    <col min="2050" max="2050" width="22.28515625" style="63" customWidth="1"/>
    <col min="2051" max="2051" width="19" style="63" customWidth="1"/>
    <col min="2052" max="2054" width="12.7109375" style="63" customWidth="1"/>
    <col min="2055" max="2055" width="17.85546875" style="63" customWidth="1"/>
    <col min="2056" max="2056" width="12.7109375" style="63" customWidth="1"/>
    <col min="2057" max="2060" width="9.140625" style="63"/>
    <col min="2061" max="2061" width="11.28515625" style="63" customWidth="1"/>
    <col min="2062" max="2305" width="9.140625" style="63"/>
    <col min="2306" max="2306" width="22.28515625" style="63" customWidth="1"/>
    <col min="2307" max="2307" width="19" style="63" customWidth="1"/>
    <col min="2308" max="2310" width="12.7109375" style="63" customWidth="1"/>
    <col min="2311" max="2311" width="17.85546875" style="63" customWidth="1"/>
    <col min="2312" max="2312" width="12.7109375" style="63" customWidth="1"/>
    <col min="2313" max="2316" width="9.140625" style="63"/>
    <col min="2317" max="2317" width="11.28515625" style="63" customWidth="1"/>
    <col min="2318" max="2561" width="9.140625" style="63"/>
    <col min="2562" max="2562" width="22.28515625" style="63" customWidth="1"/>
    <col min="2563" max="2563" width="19" style="63" customWidth="1"/>
    <col min="2564" max="2566" width="12.7109375" style="63" customWidth="1"/>
    <col min="2567" max="2567" width="17.85546875" style="63" customWidth="1"/>
    <col min="2568" max="2568" width="12.7109375" style="63" customWidth="1"/>
    <col min="2569" max="2572" width="9.140625" style="63"/>
    <col min="2573" max="2573" width="11.28515625" style="63" customWidth="1"/>
    <col min="2574" max="2817" width="9.140625" style="63"/>
    <col min="2818" max="2818" width="22.28515625" style="63" customWidth="1"/>
    <col min="2819" max="2819" width="19" style="63" customWidth="1"/>
    <col min="2820" max="2822" width="12.7109375" style="63" customWidth="1"/>
    <col min="2823" max="2823" width="17.85546875" style="63" customWidth="1"/>
    <col min="2824" max="2824" width="12.7109375" style="63" customWidth="1"/>
    <col min="2825" max="2828" width="9.140625" style="63"/>
    <col min="2829" max="2829" width="11.28515625" style="63" customWidth="1"/>
    <col min="2830" max="3073" width="9.140625" style="63"/>
    <col min="3074" max="3074" width="22.28515625" style="63" customWidth="1"/>
    <col min="3075" max="3075" width="19" style="63" customWidth="1"/>
    <col min="3076" max="3078" width="12.7109375" style="63" customWidth="1"/>
    <col min="3079" max="3079" width="17.85546875" style="63" customWidth="1"/>
    <col min="3080" max="3080" width="12.7109375" style="63" customWidth="1"/>
    <col min="3081" max="3084" width="9.140625" style="63"/>
    <col min="3085" max="3085" width="11.28515625" style="63" customWidth="1"/>
    <col min="3086" max="3329" width="9.140625" style="63"/>
    <col min="3330" max="3330" width="22.28515625" style="63" customWidth="1"/>
    <col min="3331" max="3331" width="19" style="63" customWidth="1"/>
    <col min="3332" max="3334" width="12.7109375" style="63" customWidth="1"/>
    <col min="3335" max="3335" width="17.85546875" style="63" customWidth="1"/>
    <col min="3336" max="3336" width="12.7109375" style="63" customWidth="1"/>
    <col min="3337" max="3340" width="9.140625" style="63"/>
    <col min="3341" max="3341" width="11.28515625" style="63" customWidth="1"/>
    <col min="3342" max="3585" width="9.140625" style="63"/>
    <col min="3586" max="3586" width="22.28515625" style="63" customWidth="1"/>
    <col min="3587" max="3587" width="19" style="63" customWidth="1"/>
    <col min="3588" max="3590" width="12.7109375" style="63" customWidth="1"/>
    <col min="3591" max="3591" width="17.85546875" style="63" customWidth="1"/>
    <col min="3592" max="3592" width="12.7109375" style="63" customWidth="1"/>
    <col min="3593" max="3596" width="9.140625" style="63"/>
    <col min="3597" max="3597" width="11.28515625" style="63" customWidth="1"/>
    <col min="3598" max="3841" width="9.140625" style="63"/>
    <col min="3842" max="3842" width="22.28515625" style="63" customWidth="1"/>
    <col min="3843" max="3843" width="19" style="63" customWidth="1"/>
    <col min="3844" max="3846" width="12.7109375" style="63" customWidth="1"/>
    <col min="3847" max="3847" width="17.85546875" style="63" customWidth="1"/>
    <col min="3848" max="3848" width="12.7109375" style="63" customWidth="1"/>
    <col min="3849" max="3852" width="9.140625" style="63"/>
    <col min="3853" max="3853" width="11.28515625" style="63" customWidth="1"/>
    <col min="3854" max="4097" width="9.140625" style="63"/>
    <col min="4098" max="4098" width="22.28515625" style="63" customWidth="1"/>
    <col min="4099" max="4099" width="19" style="63" customWidth="1"/>
    <col min="4100" max="4102" width="12.7109375" style="63" customWidth="1"/>
    <col min="4103" max="4103" width="17.85546875" style="63" customWidth="1"/>
    <col min="4104" max="4104" width="12.7109375" style="63" customWidth="1"/>
    <col min="4105" max="4108" width="9.140625" style="63"/>
    <col min="4109" max="4109" width="11.28515625" style="63" customWidth="1"/>
    <col min="4110" max="4353" width="9.140625" style="63"/>
    <col min="4354" max="4354" width="22.28515625" style="63" customWidth="1"/>
    <col min="4355" max="4355" width="19" style="63" customWidth="1"/>
    <col min="4356" max="4358" width="12.7109375" style="63" customWidth="1"/>
    <col min="4359" max="4359" width="17.85546875" style="63" customWidth="1"/>
    <col min="4360" max="4360" width="12.7109375" style="63" customWidth="1"/>
    <col min="4361" max="4364" width="9.140625" style="63"/>
    <col min="4365" max="4365" width="11.28515625" style="63" customWidth="1"/>
    <col min="4366" max="4609" width="9.140625" style="63"/>
    <col min="4610" max="4610" width="22.28515625" style="63" customWidth="1"/>
    <col min="4611" max="4611" width="19" style="63" customWidth="1"/>
    <col min="4612" max="4614" width="12.7109375" style="63" customWidth="1"/>
    <col min="4615" max="4615" width="17.85546875" style="63" customWidth="1"/>
    <col min="4616" max="4616" width="12.7109375" style="63" customWidth="1"/>
    <col min="4617" max="4620" width="9.140625" style="63"/>
    <col min="4621" max="4621" width="11.28515625" style="63" customWidth="1"/>
    <col min="4622" max="4865" width="9.140625" style="63"/>
    <col min="4866" max="4866" width="22.28515625" style="63" customWidth="1"/>
    <col min="4867" max="4867" width="19" style="63" customWidth="1"/>
    <col min="4868" max="4870" width="12.7109375" style="63" customWidth="1"/>
    <col min="4871" max="4871" width="17.85546875" style="63" customWidth="1"/>
    <col min="4872" max="4872" width="12.7109375" style="63" customWidth="1"/>
    <col min="4873" max="4876" width="9.140625" style="63"/>
    <col min="4877" max="4877" width="11.28515625" style="63" customWidth="1"/>
    <col min="4878" max="5121" width="9.140625" style="63"/>
    <col min="5122" max="5122" width="22.28515625" style="63" customWidth="1"/>
    <col min="5123" max="5123" width="19" style="63" customWidth="1"/>
    <col min="5124" max="5126" width="12.7109375" style="63" customWidth="1"/>
    <col min="5127" max="5127" width="17.85546875" style="63" customWidth="1"/>
    <col min="5128" max="5128" width="12.7109375" style="63" customWidth="1"/>
    <col min="5129" max="5132" width="9.140625" style="63"/>
    <col min="5133" max="5133" width="11.28515625" style="63" customWidth="1"/>
    <col min="5134" max="5377" width="9.140625" style="63"/>
    <col min="5378" max="5378" width="22.28515625" style="63" customWidth="1"/>
    <col min="5379" max="5379" width="19" style="63" customWidth="1"/>
    <col min="5380" max="5382" width="12.7109375" style="63" customWidth="1"/>
    <col min="5383" max="5383" width="17.85546875" style="63" customWidth="1"/>
    <col min="5384" max="5384" width="12.7109375" style="63" customWidth="1"/>
    <col min="5385" max="5388" width="9.140625" style="63"/>
    <col min="5389" max="5389" width="11.28515625" style="63" customWidth="1"/>
    <col min="5390" max="5633" width="9.140625" style="63"/>
    <col min="5634" max="5634" width="22.28515625" style="63" customWidth="1"/>
    <col min="5635" max="5635" width="19" style="63" customWidth="1"/>
    <col min="5636" max="5638" width="12.7109375" style="63" customWidth="1"/>
    <col min="5639" max="5639" width="17.85546875" style="63" customWidth="1"/>
    <col min="5640" max="5640" width="12.7109375" style="63" customWidth="1"/>
    <col min="5641" max="5644" width="9.140625" style="63"/>
    <col min="5645" max="5645" width="11.28515625" style="63" customWidth="1"/>
    <col min="5646" max="5889" width="9.140625" style="63"/>
    <col min="5890" max="5890" width="22.28515625" style="63" customWidth="1"/>
    <col min="5891" max="5891" width="19" style="63" customWidth="1"/>
    <col min="5892" max="5894" width="12.7109375" style="63" customWidth="1"/>
    <col min="5895" max="5895" width="17.85546875" style="63" customWidth="1"/>
    <col min="5896" max="5896" width="12.7109375" style="63" customWidth="1"/>
    <col min="5897" max="5900" width="9.140625" style="63"/>
    <col min="5901" max="5901" width="11.28515625" style="63" customWidth="1"/>
    <col min="5902" max="6145" width="9.140625" style="63"/>
    <col min="6146" max="6146" width="22.28515625" style="63" customWidth="1"/>
    <col min="6147" max="6147" width="19" style="63" customWidth="1"/>
    <col min="6148" max="6150" width="12.7109375" style="63" customWidth="1"/>
    <col min="6151" max="6151" width="17.85546875" style="63" customWidth="1"/>
    <col min="6152" max="6152" width="12.7109375" style="63" customWidth="1"/>
    <col min="6153" max="6156" width="9.140625" style="63"/>
    <col min="6157" max="6157" width="11.28515625" style="63" customWidth="1"/>
    <col min="6158" max="6401" width="9.140625" style="63"/>
    <col min="6402" max="6402" width="22.28515625" style="63" customWidth="1"/>
    <col min="6403" max="6403" width="19" style="63" customWidth="1"/>
    <col min="6404" max="6406" width="12.7109375" style="63" customWidth="1"/>
    <col min="6407" max="6407" width="17.85546875" style="63" customWidth="1"/>
    <col min="6408" max="6408" width="12.7109375" style="63" customWidth="1"/>
    <col min="6409" max="6412" width="9.140625" style="63"/>
    <col min="6413" max="6413" width="11.28515625" style="63" customWidth="1"/>
    <col min="6414" max="6657" width="9.140625" style="63"/>
    <col min="6658" max="6658" width="22.28515625" style="63" customWidth="1"/>
    <col min="6659" max="6659" width="19" style="63" customWidth="1"/>
    <col min="6660" max="6662" width="12.7109375" style="63" customWidth="1"/>
    <col min="6663" max="6663" width="17.85546875" style="63" customWidth="1"/>
    <col min="6664" max="6664" width="12.7109375" style="63" customWidth="1"/>
    <col min="6665" max="6668" width="9.140625" style="63"/>
    <col min="6669" max="6669" width="11.28515625" style="63" customWidth="1"/>
    <col min="6670" max="6913" width="9.140625" style="63"/>
    <col min="6914" max="6914" width="22.28515625" style="63" customWidth="1"/>
    <col min="6915" max="6915" width="19" style="63" customWidth="1"/>
    <col min="6916" max="6918" width="12.7109375" style="63" customWidth="1"/>
    <col min="6919" max="6919" width="17.85546875" style="63" customWidth="1"/>
    <col min="6920" max="6920" width="12.7109375" style="63" customWidth="1"/>
    <col min="6921" max="6924" width="9.140625" style="63"/>
    <col min="6925" max="6925" width="11.28515625" style="63" customWidth="1"/>
    <col min="6926" max="7169" width="9.140625" style="63"/>
    <col min="7170" max="7170" width="22.28515625" style="63" customWidth="1"/>
    <col min="7171" max="7171" width="19" style="63" customWidth="1"/>
    <col min="7172" max="7174" width="12.7109375" style="63" customWidth="1"/>
    <col min="7175" max="7175" width="17.85546875" style="63" customWidth="1"/>
    <col min="7176" max="7176" width="12.7109375" style="63" customWidth="1"/>
    <col min="7177" max="7180" width="9.140625" style="63"/>
    <col min="7181" max="7181" width="11.28515625" style="63" customWidth="1"/>
    <col min="7182" max="7425" width="9.140625" style="63"/>
    <col min="7426" max="7426" width="22.28515625" style="63" customWidth="1"/>
    <col min="7427" max="7427" width="19" style="63" customWidth="1"/>
    <col min="7428" max="7430" width="12.7109375" style="63" customWidth="1"/>
    <col min="7431" max="7431" width="17.85546875" style="63" customWidth="1"/>
    <col min="7432" max="7432" width="12.7109375" style="63" customWidth="1"/>
    <col min="7433" max="7436" width="9.140625" style="63"/>
    <col min="7437" max="7437" width="11.28515625" style="63" customWidth="1"/>
    <col min="7438" max="7681" width="9.140625" style="63"/>
    <col min="7682" max="7682" width="22.28515625" style="63" customWidth="1"/>
    <col min="7683" max="7683" width="19" style="63" customWidth="1"/>
    <col min="7684" max="7686" width="12.7109375" style="63" customWidth="1"/>
    <col min="7687" max="7687" width="17.85546875" style="63" customWidth="1"/>
    <col min="7688" max="7688" width="12.7109375" style="63" customWidth="1"/>
    <col min="7689" max="7692" width="9.140625" style="63"/>
    <col min="7693" max="7693" width="11.28515625" style="63" customWidth="1"/>
    <col min="7694" max="7937" width="9.140625" style="63"/>
    <col min="7938" max="7938" width="22.28515625" style="63" customWidth="1"/>
    <col min="7939" max="7939" width="19" style="63" customWidth="1"/>
    <col min="7940" max="7942" width="12.7109375" style="63" customWidth="1"/>
    <col min="7943" max="7943" width="17.85546875" style="63" customWidth="1"/>
    <col min="7944" max="7944" width="12.7109375" style="63" customWidth="1"/>
    <col min="7945" max="7948" width="9.140625" style="63"/>
    <col min="7949" max="7949" width="11.28515625" style="63" customWidth="1"/>
    <col min="7950" max="8193" width="9.140625" style="63"/>
    <col min="8194" max="8194" width="22.28515625" style="63" customWidth="1"/>
    <col min="8195" max="8195" width="19" style="63" customWidth="1"/>
    <col min="8196" max="8198" width="12.7109375" style="63" customWidth="1"/>
    <col min="8199" max="8199" width="17.85546875" style="63" customWidth="1"/>
    <col min="8200" max="8200" width="12.7109375" style="63" customWidth="1"/>
    <col min="8201" max="8204" width="9.140625" style="63"/>
    <col min="8205" max="8205" width="11.28515625" style="63" customWidth="1"/>
    <col min="8206" max="8449" width="9.140625" style="63"/>
    <col min="8450" max="8450" width="22.28515625" style="63" customWidth="1"/>
    <col min="8451" max="8451" width="19" style="63" customWidth="1"/>
    <col min="8452" max="8454" width="12.7109375" style="63" customWidth="1"/>
    <col min="8455" max="8455" width="17.85546875" style="63" customWidth="1"/>
    <col min="8456" max="8456" width="12.7109375" style="63" customWidth="1"/>
    <col min="8457" max="8460" width="9.140625" style="63"/>
    <col min="8461" max="8461" width="11.28515625" style="63" customWidth="1"/>
    <col min="8462" max="8705" width="9.140625" style="63"/>
    <col min="8706" max="8706" width="22.28515625" style="63" customWidth="1"/>
    <col min="8707" max="8707" width="19" style="63" customWidth="1"/>
    <col min="8708" max="8710" width="12.7109375" style="63" customWidth="1"/>
    <col min="8711" max="8711" width="17.85546875" style="63" customWidth="1"/>
    <col min="8712" max="8712" width="12.7109375" style="63" customWidth="1"/>
    <col min="8713" max="8716" width="9.140625" style="63"/>
    <col min="8717" max="8717" width="11.28515625" style="63" customWidth="1"/>
    <col min="8718" max="8961" width="9.140625" style="63"/>
    <col min="8962" max="8962" width="22.28515625" style="63" customWidth="1"/>
    <col min="8963" max="8963" width="19" style="63" customWidth="1"/>
    <col min="8964" max="8966" width="12.7109375" style="63" customWidth="1"/>
    <col min="8967" max="8967" width="17.85546875" style="63" customWidth="1"/>
    <col min="8968" max="8968" width="12.7109375" style="63" customWidth="1"/>
    <col min="8969" max="8972" width="9.140625" style="63"/>
    <col min="8973" max="8973" width="11.28515625" style="63" customWidth="1"/>
    <col min="8974" max="9217" width="9.140625" style="63"/>
    <col min="9218" max="9218" width="22.28515625" style="63" customWidth="1"/>
    <col min="9219" max="9219" width="19" style="63" customWidth="1"/>
    <col min="9220" max="9222" width="12.7109375" style="63" customWidth="1"/>
    <col min="9223" max="9223" width="17.85546875" style="63" customWidth="1"/>
    <col min="9224" max="9224" width="12.7109375" style="63" customWidth="1"/>
    <col min="9225" max="9228" width="9.140625" style="63"/>
    <col min="9229" max="9229" width="11.28515625" style="63" customWidth="1"/>
    <col min="9230" max="9473" width="9.140625" style="63"/>
    <col min="9474" max="9474" width="22.28515625" style="63" customWidth="1"/>
    <col min="9475" max="9475" width="19" style="63" customWidth="1"/>
    <col min="9476" max="9478" width="12.7109375" style="63" customWidth="1"/>
    <col min="9479" max="9479" width="17.85546875" style="63" customWidth="1"/>
    <col min="9480" max="9480" width="12.7109375" style="63" customWidth="1"/>
    <col min="9481" max="9484" width="9.140625" style="63"/>
    <col min="9485" max="9485" width="11.28515625" style="63" customWidth="1"/>
    <col min="9486" max="9729" width="9.140625" style="63"/>
    <col min="9730" max="9730" width="22.28515625" style="63" customWidth="1"/>
    <col min="9731" max="9731" width="19" style="63" customWidth="1"/>
    <col min="9732" max="9734" width="12.7109375" style="63" customWidth="1"/>
    <col min="9735" max="9735" width="17.85546875" style="63" customWidth="1"/>
    <col min="9736" max="9736" width="12.7109375" style="63" customWidth="1"/>
    <col min="9737" max="9740" width="9.140625" style="63"/>
    <col min="9741" max="9741" width="11.28515625" style="63" customWidth="1"/>
    <col min="9742" max="9985" width="9.140625" style="63"/>
    <col min="9986" max="9986" width="22.28515625" style="63" customWidth="1"/>
    <col min="9987" max="9987" width="19" style="63" customWidth="1"/>
    <col min="9988" max="9990" width="12.7109375" style="63" customWidth="1"/>
    <col min="9991" max="9991" width="17.85546875" style="63" customWidth="1"/>
    <col min="9992" max="9992" width="12.7109375" style="63" customWidth="1"/>
    <col min="9993" max="9996" width="9.140625" style="63"/>
    <col min="9997" max="9997" width="11.28515625" style="63" customWidth="1"/>
    <col min="9998" max="10241" width="9.140625" style="63"/>
    <col min="10242" max="10242" width="22.28515625" style="63" customWidth="1"/>
    <col min="10243" max="10243" width="19" style="63" customWidth="1"/>
    <col min="10244" max="10246" width="12.7109375" style="63" customWidth="1"/>
    <col min="10247" max="10247" width="17.85546875" style="63" customWidth="1"/>
    <col min="10248" max="10248" width="12.7109375" style="63" customWidth="1"/>
    <col min="10249" max="10252" width="9.140625" style="63"/>
    <col min="10253" max="10253" width="11.28515625" style="63" customWidth="1"/>
    <col min="10254" max="10497" width="9.140625" style="63"/>
    <col min="10498" max="10498" width="22.28515625" style="63" customWidth="1"/>
    <col min="10499" max="10499" width="19" style="63" customWidth="1"/>
    <col min="10500" max="10502" width="12.7109375" style="63" customWidth="1"/>
    <col min="10503" max="10503" width="17.85546875" style="63" customWidth="1"/>
    <col min="10504" max="10504" width="12.7109375" style="63" customWidth="1"/>
    <col min="10505" max="10508" width="9.140625" style="63"/>
    <col min="10509" max="10509" width="11.28515625" style="63" customWidth="1"/>
    <col min="10510" max="10753" width="9.140625" style="63"/>
    <col min="10754" max="10754" width="22.28515625" style="63" customWidth="1"/>
    <col min="10755" max="10755" width="19" style="63" customWidth="1"/>
    <col min="10756" max="10758" width="12.7109375" style="63" customWidth="1"/>
    <col min="10759" max="10759" width="17.85546875" style="63" customWidth="1"/>
    <col min="10760" max="10760" width="12.7109375" style="63" customWidth="1"/>
    <col min="10761" max="10764" width="9.140625" style="63"/>
    <col min="10765" max="10765" width="11.28515625" style="63" customWidth="1"/>
    <col min="10766" max="11009" width="9.140625" style="63"/>
    <col min="11010" max="11010" width="22.28515625" style="63" customWidth="1"/>
    <col min="11011" max="11011" width="19" style="63" customWidth="1"/>
    <col min="11012" max="11014" width="12.7109375" style="63" customWidth="1"/>
    <col min="11015" max="11015" width="17.85546875" style="63" customWidth="1"/>
    <col min="11016" max="11016" width="12.7109375" style="63" customWidth="1"/>
    <col min="11017" max="11020" width="9.140625" style="63"/>
    <col min="11021" max="11021" width="11.28515625" style="63" customWidth="1"/>
    <col min="11022" max="11265" width="9.140625" style="63"/>
    <col min="11266" max="11266" width="22.28515625" style="63" customWidth="1"/>
    <col min="11267" max="11267" width="19" style="63" customWidth="1"/>
    <col min="11268" max="11270" width="12.7109375" style="63" customWidth="1"/>
    <col min="11271" max="11271" width="17.85546875" style="63" customWidth="1"/>
    <col min="11272" max="11272" width="12.7109375" style="63" customWidth="1"/>
    <col min="11273" max="11276" width="9.140625" style="63"/>
    <col min="11277" max="11277" width="11.28515625" style="63" customWidth="1"/>
    <col min="11278" max="11521" width="9.140625" style="63"/>
    <col min="11522" max="11522" width="22.28515625" style="63" customWidth="1"/>
    <col min="11523" max="11523" width="19" style="63" customWidth="1"/>
    <col min="11524" max="11526" width="12.7109375" style="63" customWidth="1"/>
    <col min="11527" max="11527" width="17.85546875" style="63" customWidth="1"/>
    <col min="11528" max="11528" width="12.7109375" style="63" customWidth="1"/>
    <col min="11529" max="11532" width="9.140625" style="63"/>
    <col min="11533" max="11533" width="11.28515625" style="63" customWidth="1"/>
    <col min="11534" max="11777" width="9.140625" style="63"/>
    <col min="11778" max="11778" width="22.28515625" style="63" customWidth="1"/>
    <col min="11779" max="11779" width="19" style="63" customWidth="1"/>
    <col min="11780" max="11782" width="12.7109375" style="63" customWidth="1"/>
    <col min="11783" max="11783" width="17.85546875" style="63" customWidth="1"/>
    <col min="11784" max="11784" width="12.7109375" style="63" customWidth="1"/>
    <col min="11785" max="11788" width="9.140625" style="63"/>
    <col min="11789" max="11789" width="11.28515625" style="63" customWidth="1"/>
    <col min="11790" max="12033" width="9.140625" style="63"/>
    <col min="12034" max="12034" width="22.28515625" style="63" customWidth="1"/>
    <col min="12035" max="12035" width="19" style="63" customWidth="1"/>
    <col min="12036" max="12038" width="12.7109375" style="63" customWidth="1"/>
    <col min="12039" max="12039" width="17.85546875" style="63" customWidth="1"/>
    <col min="12040" max="12040" width="12.7109375" style="63" customWidth="1"/>
    <col min="12041" max="12044" width="9.140625" style="63"/>
    <col min="12045" max="12045" width="11.28515625" style="63" customWidth="1"/>
    <col min="12046" max="12289" width="9.140625" style="63"/>
    <col min="12290" max="12290" width="22.28515625" style="63" customWidth="1"/>
    <col min="12291" max="12291" width="19" style="63" customWidth="1"/>
    <col min="12292" max="12294" width="12.7109375" style="63" customWidth="1"/>
    <col min="12295" max="12295" width="17.85546875" style="63" customWidth="1"/>
    <col min="12296" max="12296" width="12.7109375" style="63" customWidth="1"/>
    <col min="12297" max="12300" width="9.140625" style="63"/>
    <col min="12301" max="12301" width="11.28515625" style="63" customWidth="1"/>
    <col min="12302" max="12545" width="9.140625" style="63"/>
    <col min="12546" max="12546" width="22.28515625" style="63" customWidth="1"/>
    <col min="12547" max="12547" width="19" style="63" customWidth="1"/>
    <col min="12548" max="12550" width="12.7109375" style="63" customWidth="1"/>
    <col min="12551" max="12551" width="17.85546875" style="63" customWidth="1"/>
    <col min="12552" max="12552" width="12.7109375" style="63" customWidth="1"/>
    <col min="12553" max="12556" width="9.140625" style="63"/>
    <col min="12557" max="12557" width="11.28515625" style="63" customWidth="1"/>
    <col min="12558" max="12801" width="9.140625" style="63"/>
    <col min="12802" max="12802" width="22.28515625" style="63" customWidth="1"/>
    <col min="12803" max="12803" width="19" style="63" customWidth="1"/>
    <col min="12804" max="12806" width="12.7109375" style="63" customWidth="1"/>
    <col min="12807" max="12807" width="17.85546875" style="63" customWidth="1"/>
    <col min="12808" max="12808" width="12.7109375" style="63" customWidth="1"/>
    <col min="12809" max="12812" width="9.140625" style="63"/>
    <col min="12813" max="12813" width="11.28515625" style="63" customWidth="1"/>
    <col min="12814" max="13057" width="9.140625" style="63"/>
    <col min="13058" max="13058" width="22.28515625" style="63" customWidth="1"/>
    <col min="13059" max="13059" width="19" style="63" customWidth="1"/>
    <col min="13060" max="13062" width="12.7109375" style="63" customWidth="1"/>
    <col min="13063" max="13063" width="17.85546875" style="63" customWidth="1"/>
    <col min="13064" max="13064" width="12.7109375" style="63" customWidth="1"/>
    <col min="13065" max="13068" width="9.140625" style="63"/>
    <col min="13069" max="13069" width="11.28515625" style="63" customWidth="1"/>
    <col min="13070" max="13313" width="9.140625" style="63"/>
    <col min="13314" max="13314" width="22.28515625" style="63" customWidth="1"/>
    <col min="13315" max="13315" width="19" style="63" customWidth="1"/>
    <col min="13316" max="13318" width="12.7109375" style="63" customWidth="1"/>
    <col min="13319" max="13319" width="17.85546875" style="63" customWidth="1"/>
    <col min="13320" max="13320" width="12.7109375" style="63" customWidth="1"/>
    <col min="13321" max="13324" width="9.140625" style="63"/>
    <col min="13325" max="13325" width="11.28515625" style="63" customWidth="1"/>
    <col min="13326" max="13569" width="9.140625" style="63"/>
    <col min="13570" max="13570" width="22.28515625" style="63" customWidth="1"/>
    <col min="13571" max="13571" width="19" style="63" customWidth="1"/>
    <col min="13572" max="13574" width="12.7109375" style="63" customWidth="1"/>
    <col min="13575" max="13575" width="17.85546875" style="63" customWidth="1"/>
    <col min="13576" max="13576" width="12.7109375" style="63" customWidth="1"/>
    <col min="13577" max="13580" width="9.140625" style="63"/>
    <col min="13581" max="13581" width="11.28515625" style="63" customWidth="1"/>
    <col min="13582" max="13825" width="9.140625" style="63"/>
    <col min="13826" max="13826" width="22.28515625" style="63" customWidth="1"/>
    <col min="13827" max="13827" width="19" style="63" customWidth="1"/>
    <col min="13828" max="13830" width="12.7109375" style="63" customWidth="1"/>
    <col min="13831" max="13831" width="17.85546875" style="63" customWidth="1"/>
    <col min="13832" max="13832" width="12.7109375" style="63" customWidth="1"/>
    <col min="13833" max="13836" width="9.140625" style="63"/>
    <col min="13837" max="13837" width="11.28515625" style="63" customWidth="1"/>
    <col min="13838" max="14081" width="9.140625" style="63"/>
    <col min="14082" max="14082" width="22.28515625" style="63" customWidth="1"/>
    <col min="14083" max="14083" width="19" style="63" customWidth="1"/>
    <col min="14084" max="14086" width="12.7109375" style="63" customWidth="1"/>
    <col min="14087" max="14087" width="17.85546875" style="63" customWidth="1"/>
    <col min="14088" max="14088" width="12.7109375" style="63" customWidth="1"/>
    <col min="14089" max="14092" width="9.140625" style="63"/>
    <col min="14093" max="14093" width="11.28515625" style="63" customWidth="1"/>
    <col min="14094" max="14337" width="9.140625" style="63"/>
    <col min="14338" max="14338" width="22.28515625" style="63" customWidth="1"/>
    <col min="14339" max="14339" width="19" style="63" customWidth="1"/>
    <col min="14340" max="14342" width="12.7109375" style="63" customWidth="1"/>
    <col min="14343" max="14343" width="17.85546875" style="63" customWidth="1"/>
    <col min="14344" max="14344" width="12.7109375" style="63" customWidth="1"/>
    <col min="14345" max="14348" width="9.140625" style="63"/>
    <col min="14349" max="14349" width="11.28515625" style="63" customWidth="1"/>
    <col min="14350" max="14593" width="9.140625" style="63"/>
    <col min="14594" max="14594" width="22.28515625" style="63" customWidth="1"/>
    <col min="14595" max="14595" width="19" style="63" customWidth="1"/>
    <col min="14596" max="14598" width="12.7109375" style="63" customWidth="1"/>
    <col min="14599" max="14599" width="17.85546875" style="63" customWidth="1"/>
    <col min="14600" max="14600" width="12.7109375" style="63" customWidth="1"/>
    <col min="14601" max="14604" width="9.140625" style="63"/>
    <col min="14605" max="14605" width="11.28515625" style="63" customWidth="1"/>
    <col min="14606" max="14849" width="9.140625" style="63"/>
    <col min="14850" max="14850" width="22.28515625" style="63" customWidth="1"/>
    <col min="14851" max="14851" width="19" style="63" customWidth="1"/>
    <col min="14852" max="14854" width="12.7109375" style="63" customWidth="1"/>
    <col min="14855" max="14855" width="17.85546875" style="63" customWidth="1"/>
    <col min="14856" max="14856" width="12.7109375" style="63" customWidth="1"/>
    <col min="14857" max="14860" width="9.140625" style="63"/>
    <col min="14861" max="14861" width="11.28515625" style="63" customWidth="1"/>
    <col min="14862" max="15105" width="9.140625" style="63"/>
    <col min="15106" max="15106" width="22.28515625" style="63" customWidth="1"/>
    <col min="15107" max="15107" width="19" style="63" customWidth="1"/>
    <col min="15108" max="15110" width="12.7109375" style="63" customWidth="1"/>
    <col min="15111" max="15111" width="17.85546875" style="63" customWidth="1"/>
    <col min="15112" max="15112" width="12.7109375" style="63" customWidth="1"/>
    <col min="15113" max="15116" width="9.140625" style="63"/>
    <col min="15117" max="15117" width="11.28515625" style="63" customWidth="1"/>
    <col min="15118" max="15361" width="9.140625" style="63"/>
    <col min="15362" max="15362" width="22.28515625" style="63" customWidth="1"/>
    <col min="15363" max="15363" width="19" style="63" customWidth="1"/>
    <col min="15364" max="15366" width="12.7109375" style="63" customWidth="1"/>
    <col min="15367" max="15367" width="17.85546875" style="63" customWidth="1"/>
    <col min="15368" max="15368" width="12.7109375" style="63" customWidth="1"/>
    <col min="15369" max="15372" width="9.140625" style="63"/>
    <col min="15373" max="15373" width="11.28515625" style="63" customWidth="1"/>
    <col min="15374" max="15617" width="9.140625" style="63"/>
    <col min="15618" max="15618" width="22.28515625" style="63" customWidth="1"/>
    <col min="15619" max="15619" width="19" style="63" customWidth="1"/>
    <col min="15620" max="15622" width="12.7109375" style="63" customWidth="1"/>
    <col min="15623" max="15623" width="17.85546875" style="63" customWidth="1"/>
    <col min="15624" max="15624" width="12.7109375" style="63" customWidth="1"/>
    <col min="15625" max="15628" width="9.140625" style="63"/>
    <col min="15629" max="15629" width="11.28515625" style="63" customWidth="1"/>
    <col min="15630" max="15873" width="9.140625" style="63"/>
    <col min="15874" max="15874" width="22.28515625" style="63" customWidth="1"/>
    <col min="15875" max="15875" width="19" style="63" customWidth="1"/>
    <col min="15876" max="15878" width="12.7109375" style="63" customWidth="1"/>
    <col min="15879" max="15879" width="17.85546875" style="63" customWidth="1"/>
    <col min="15880" max="15880" width="12.7109375" style="63" customWidth="1"/>
    <col min="15881" max="15884" width="9.140625" style="63"/>
    <col min="15885" max="15885" width="11.28515625" style="63" customWidth="1"/>
    <col min="15886" max="16129" width="9.140625" style="63"/>
    <col min="16130" max="16130" width="22.28515625" style="63" customWidth="1"/>
    <col min="16131" max="16131" width="19" style="63" customWidth="1"/>
    <col min="16132" max="16134" width="12.7109375" style="63" customWidth="1"/>
    <col min="16135" max="16135" width="17.85546875" style="63" customWidth="1"/>
    <col min="16136" max="16136" width="12.7109375" style="63" customWidth="1"/>
    <col min="16137" max="16140" width="9.140625" style="63"/>
    <col min="16141" max="16141" width="11.28515625" style="63" customWidth="1"/>
    <col min="16142" max="16384" width="9.140625" style="63"/>
  </cols>
  <sheetData>
    <row r="1" spans="1:15" s="21" customFormat="1" ht="13.5" customHeight="1">
      <c r="A1" s="722" t="s">
        <v>213</v>
      </c>
      <c r="B1" s="722"/>
      <c r="C1" s="722"/>
      <c r="D1" s="722"/>
      <c r="E1" s="722"/>
      <c r="F1" s="722"/>
      <c r="G1" s="722"/>
      <c r="H1" s="20"/>
    </row>
    <row r="2" spans="1:15" s="21" customFormat="1" ht="13.5" customHeight="1" thickBot="1">
      <c r="A2" s="23" t="s">
        <v>1629</v>
      </c>
      <c r="F2" s="24"/>
      <c r="G2" s="25"/>
      <c r="H2" s="20"/>
    </row>
    <row r="3" spans="1:15" s="21" customFormat="1" ht="91.5" customHeight="1" thickBot="1">
      <c r="A3" s="26" t="s">
        <v>175</v>
      </c>
      <c r="B3" s="27" t="s">
        <v>176</v>
      </c>
      <c r="C3" s="28" t="s">
        <v>177</v>
      </c>
      <c r="D3" s="28" t="s">
        <v>178</v>
      </c>
      <c r="E3" s="28" t="s">
        <v>179</v>
      </c>
      <c r="F3" s="29" t="s">
        <v>180</v>
      </c>
      <c r="G3" s="28" t="s">
        <v>181</v>
      </c>
      <c r="H3" s="30"/>
      <c r="I3" s="31" t="s">
        <v>13</v>
      </c>
      <c r="J3" s="32" t="s">
        <v>182</v>
      </c>
      <c r="K3" s="32" t="s">
        <v>1626</v>
      </c>
      <c r="L3" s="33" t="s">
        <v>183</v>
      </c>
      <c r="M3" s="33" t="s">
        <v>184</v>
      </c>
      <c r="N3" s="33" t="s">
        <v>185</v>
      </c>
      <c r="O3" s="33" t="s">
        <v>186</v>
      </c>
    </row>
    <row r="4" spans="1:15" s="21" customFormat="1" ht="15.75" customHeight="1">
      <c r="A4" s="34" t="s">
        <v>15</v>
      </c>
      <c r="B4" s="35">
        <f>+CEILING(I4+J4+K4,10)</f>
        <v>295550</v>
      </c>
      <c r="C4" s="36">
        <f>+L4</f>
        <v>7000</v>
      </c>
      <c r="D4" s="37">
        <f>+Shepparton!D4</f>
        <v>5010</v>
      </c>
      <c r="E4" s="37">
        <f>+Shepparton!E4</f>
        <v>2785</v>
      </c>
      <c r="F4" s="38">
        <f>SUM(B4:E4)</f>
        <v>310345</v>
      </c>
      <c r="G4" s="37">
        <f>+Shepparton!G4</f>
        <v>4420</v>
      </c>
      <c r="H4" s="20"/>
      <c r="I4" s="39">
        <f>+Lifestyle!BC14</f>
        <v>292541</v>
      </c>
      <c r="J4" s="21">
        <f>+Lifestyle!BB7</f>
        <v>0</v>
      </c>
      <c r="K4" s="21">
        <f>+Lifestyle!BD14</f>
        <v>3000</v>
      </c>
      <c r="L4" s="21">
        <f>50*'2.TRAVEL'!H13</f>
        <v>7000</v>
      </c>
      <c r="M4" s="21">
        <v>103</v>
      </c>
      <c r="N4" s="21">
        <v>60</v>
      </c>
      <c r="O4" s="21">
        <v>65</v>
      </c>
    </row>
    <row r="5" spans="1:15" s="21" customFormat="1" ht="15.75" customHeight="1">
      <c r="A5" s="42" t="s">
        <v>16</v>
      </c>
      <c r="B5" s="35">
        <f>+CEILING(I5+J5+K5,10)</f>
        <v>309980</v>
      </c>
      <c r="C5" s="43">
        <f t="shared" ref="C5:C40" si="0">+L5</f>
        <v>7000</v>
      </c>
      <c r="D5" s="37">
        <f>+Shepparton!D5</f>
        <v>5140</v>
      </c>
      <c r="E5" s="37">
        <f>+Shepparton!E5</f>
        <v>4100</v>
      </c>
      <c r="F5" s="38">
        <f t="shared" ref="F5:F40" si="1">SUM(B5:E5)</f>
        <v>326220</v>
      </c>
      <c r="G5" s="37">
        <f>+Shepparton!G5</f>
        <v>4845</v>
      </c>
      <c r="H5" s="20"/>
      <c r="I5" s="39">
        <f>+Lifestyle!BC15</f>
        <v>306971</v>
      </c>
      <c r="J5" s="21">
        <f>+J4</f>
        <v>0</v>
      </c>
      <c r="K5" s="21">
        <f>+Lifestyle!BD15</f>
        <v>3000</v>
      </c>
      <c r="L5" s="21">
        <f>+L4</f>
        <v>7000</v>
      </c>
      <c r="M5" s="21">
        <f>+M4</f>
        <v>103</v>
      </c>
      <c r="N5" s="21">
        <f>+N4</f>
        <v>60</v>
      </c>
      <c r="O5" s="21">
        <f>+O4</f>
        <v>65</v>
      </c>
    </row>
    <row r="6" spans="1:15" s="21" customFormat="1" ht="15.75" customHeight="1">
      <c r="A6" s="42" t="s">
        <v>17</v>
      </c>
      <c r="B6" s="35">
        <f>+CEILING(I6+J6+K6,10)</f>
        <v>324000</v>
      </c>
      <c r="C6" s="43">
        <f t="shared" si="0"/>
        <v>7000</v>
      </c>
      <c r="D6" s="37">
        <f>+Shepparton!D6</f>
        <v>5935</v>
      </c>
      <c r="E6" s="37">
        <f>+Shepparton!E6</f>
        <v>4085</v>
      </c>
      <c r="F6" s="38">
        <f t="shared" si="1"/>
        <v>341020</v>
      </c>
      <c r="G6" s="37">
        <f>+Shepparton!G6</f>
        <v>5100</v>
      </c>
      <c r="H6" s="20"/>
      <c r="I6" s="39">
        <f>+Lifestyle!BC16</f>
        <v>320996</v>
      </c>
      <c r="J6" s="21">
        <f t="shared" ref="J6:O25" si="2">+J5</f>
        <v>0</v>
      </c>
      <c r="K6" s="21">
        <f>+Lifestyle!BD16</f>
        <v>3000</v>
      </c>
      <c r="L6" s="21">
        <f t="shared" si="2"/>
        <v>7000</v>
      </c>
      <c r="M6" s="21">
        <f t="shared" si="2"/>
        <v>103</v>
      </c>
      <c r="N6" s="21">
        <f t="shared" si="2"/>
        <v>60</v>
      </c>
      <c r="O6" s="21">
        <f t="shared" si="2"/>
        <v>65</v>
      </c>
    </row>
    <row r="7" spans="1:15" s="21" customFormat="1" ht="15.75" customHeight="1">
      <c r="A7" s="42" t="s">
        <v>18</v>
      </c>
      <c r="B7" s="35">
        <f t="shared" ref="B7:B40" si="3">+CEILING(I7+J7+K7,10)</f>
        <v>325640</v>
      </c>
      <c r="C7" s="43">
        <f t="shared" si="0"/>
        <v>7000</v>
      </c>
      <c r="D7" s="37">
        <f>+Shepparton!D7</f>
        <v>5885</v>
      </c>
      <c r="E7" s="37">
        <f>+Shepparton!E7</f>
        <v>3985</v>
      </c>
      <c r="F7" s="38">
        <f t="shared" si="1"/>
        <v>342510</v>
      </c>
      <c r="G7" s="37">
        <f>+Shepparton!G7</f>
        <v>5100</v>
      </c>
      <c r="H7" s="20"/>
      <c r="I7" s="39">
        <f>+Lifestyle!BC17</f>
        <v>322640</v>
      </c>
      <c r="J7" s="21">
        <f t="shared" si="2"/>
        <v>0</v>
      </c>
      <c r="K7" s="21">
        <f>+Lifestyle!BD17</f>
        <v>3000</v>
      </c>
      <c r="L7" s="21">
        <f t="shared" si="2"/>
        <v>7000</v>
      </c>
      <c r="M7" s="21">
        <f t="shared" si="2"/>
        <v>103</v>
      </c>
      <c r="N7" s="21">
        <f t="shared" si="2"/>
        <v>60</v>
      </c>
      <c r="O7" s="21">
        <f t="shared" si="2"/>
        <v>65</v>
      </c>
    </row>
    <row r="8" spans="1:15" s="21" customFormat="1" ht="15.75" customHeight="1">
      <c r="A8" s="42" t="s">
        <v>19</v>
      </c>
      <c r="B8" s="35">
        <f t="shared" si="3"/>
        <v>333230</v>
      </c>
      <c r="C8" s="43">
        <f t="shared" si="0"/>
        <v>7000</v>
      </c>
      <c r="D8" s="37">
        <f>+Shepparton!D8</f>
        <v>6420</v>
      </c>
      <c r="E8" s="37">
        <f>+Shepparton!E8</f>
        <v>4990</v>
      </c>
      <c r="F8" s="38">
        <f t="shared" si="1"/>
        <v>351640</v>
      </c>
      <c r="G8" s="37">
        <f>+Shepparton!G8</f>
        <v>5270</v>
      </c>
      <c r="H8" s="20"/>
      <c r="I8" s="39">
        <f>+Lifestyle!BC18</f>
        <v>330230</v>
      </c>
      <c r="J8" s="21">
        <f t="shared" si="2"/>
        <v>0</v>
      </c>
      <c r="K8" s="21">
        <f>+Lifestyle!BD18</f>
        <v>3000</v>
      </c>
      <c r="L8" s="21">
        <f t="shared" si="2"/>
        <v>7000</v>
      </c>
      <c r="M8" s="21">
        <f t="shared" si="2"/>
        <v>103</v>
      </c>
      <c r="N8" s="21">
        <f t="shared" si="2"/>
        <v>60</v>
      </c>
      <c r="O8" s="21">
        <f t="shared" si="2"/>
        <v>65</v>
      </c>
    </row>
    <row r="9" spans="1:15" s="21" customFormat="1" ht="15.75" customHeight="1">
      <c r="A9" s="42" t="s">
        <v>20</v>
      </c>
      <c r="B9" s="35">
        <f t="shared" si="3"/>
        <v>335580</v>
      </c>
      <c r="C9" s="43">
        <f t="shared" si="0"/>
        <v>7000</v>
      </c>
      <c r="D9" s="37">
        <f>+Shepparton!D9</f>
        <v>8670</v>
      </c>
      <c r="E9" s="37">
        <f>+Shepparton!E9</f>
        <v>3475</v>
      </c>
      <c r="F9" s="38">
        <f t="shared" si="1"/>
        <v>354725</v>
      </c>
      <c r="G9" s="37">
        <f>+Shepparton!G9</f>
        <v>4930</v>
      </c>
      <c r="H9" s="20"/>
      <c r="I9" s="39">
        <f>+Lifestyle!BC19</f>
        <v>332578</v>
      </c>
      <c r="J9" s="21">
        <f t="shared" si="2"/>
        <v>0</v>
      </c>
      <c r="K9" s="21">
        <f>+Lifestyle!BD19</f>
        <v>3000</v>
      </c>
      <c r="L9" s="21">
        <f t="shared" si="2"/>
        <v>7000</v>
      </c>
      <c r="M9" s="21">
        <f t="shared" si="2"/>
        <v>103</v>
      </c>
      <c r="N9" s="21">
        <f t="shared" si="2"/>
        <v>60</v>
      </c>
      <c r="O9" s="21">
        <f t="shared" si="2"/>
        <v>65</v>
      </c>
    </row>
    <row r="10" spans="1:15" s="21" customFormat="1" ht="15.75" customHeight="1">
      <c r="A10" s="42" t="s">
        <v>21</v>
      </c>
      <c r="B10" s="35">
        <f t="shared" si="3"/>
        <v>372840</v>
      </c>
      <c r="C10" s="43">
        <f t="shared" si="0"/>
        <v>7000</v>
      </c>
      <c r="D10" s="37">
        <f>+Shepparton!D10</f>
        <v>7940</v>
      </c>
      <c r="E10" s="37">
        <f>+Shepparton!E10</f>
        <v>5610</v>
      </c>
      <c r="F10" s="38">
        <f t="shared" si="1"/>
        <v>393390</v>
      </c>
      <c r="G10" s="37">
        <f>+Shepparton!G10</f>
        <v>5100</v>
      </c>
      <c r="H10" s="20"/>
      <c r="I10" s="39">
        <f>+Lifestyle!BC20</f>
        <v>368840</v>
      </c>
      <c r="J10" s="21">
        <f t="shared" si="2"/>
        <v>0</v>
      </c>
      <c r="K10" s="21">
        <f>+Lifestyle!BD20</f>
        <v>4000</v>
      </c>
      <c r="L10" s="21">
        <f t="shared" si="2"/>
        <v>7000</v>
      </c>
      <c r="M10" s="21">
        <f t="shared" si="2"/>
        <v>103</v>
      </c>
      <c r="N10" s="21">
        <f t="shared" si="2"/>
        <v>60</v>
      </c>
      <c r="O10" s="21">
        <f t="shared" si="2"/>
        <v>65</v>
      </c>
    </row>
    <row r="11" spans="1:15" s="21" customFormat="1" ht="15.75" customHeight="1">
      <c r="A11" s="42" t="s">
        <v>22</v>
      </c>
      <c r="B11" s="35">
        <f t="shared" si="3"/>
        <v>399470</v>
      </c>
      <c r="C11" s="43">
        <f t="shared" si="0"/>
        <v>7000</v>
      </c>
      <c r="D11" s="37">
        <f>+Shepparton!D11</f>
        <v>8440</v>
      </c>
      <c r="E11" s="37">
        <f>+Shepparton!E11</f>
        <v>6700</v>
      </c>
      <c r="F11" s="38">
        <f t="shared" si="1"/>
        <v>421610</v>
      </c>
      <c r="G11" s="37">
        <f>+Shepparton!G11</f>
        <v>6290</v>
      </c>
      <c r="H11" s="20"/>
      <c r="I11" s="39">
        <f>+Lifestyle!BC21</f>
        <v>395470</v>
      </c>
      <c r="J11" s="21">
        <f t="shared" si="2"/>
        <v>0</v>
      </c>
      <c r="K11" s="21">
        <f>+Lifestyle!BD21</f>
        <v>4000</v>
      </c>
      <c r="L11" s="21">
        <f t="shared" si="2"/>
        <v>7000</v>
      </c>
      <c r="M11" s="21">
        <f t="shared" si="2"/>
        <v>103</v>
      </c>
      <c r="N11" s="21">
        <f t="shared" si="2"/>
        <v>60</v>
      </c>
      <c r="O11" s="21">
        <f t="shared" si="2"/>
        <v>65</v>
      </c>
    </row>
    <row r="12" spans="1:15" s="21" customFormat="1" ht="15.75" customHeight="1">
      <c r="A12" s="42" t="s">
        <v>23</v>
      </c>
      <c r="B12" s="35">
        <f t="shared" si="3"/>
        <v>293860</v>
      </c>
      <c r="C12" s="43">
        <f t="shared" si="0"/>
        <v>7000</v>
      </c>
      <c r="D12" s="37">
        <f>+Shepparton!D12</f>
        <v>5805</v>
      </c>
      <c r="E12" s="37">
        <f>+Shepparton!E12</f>
        <v>2805</v>
      </c>
      <c r="F12" s="38">
        <f t="shared" si="1"/>
        <v>309470</v>
      </c>
      <c r="G12" s="37">
        <f>+Shepparton!G12</f>
        <v>4335</v>
      </c>
      <c r="H12" s="20"/>
      <c r="I12" s="39">
        <f>+Lifestyle!BC22</f>
        <v>290856</v>
      </c>
      <c r="J12" s="21">
        <f t="shared" si="2"/>
        <v>0</v>
      </c>
      <c r="K12" s="21">
        <f>+Lifestyle!BD22</f>
        <v>3000</v>
      </c>
      <c r="L12" s="21">
        <f t="shared" si="2"/>
        <v>7000</v>
      </c>
      <c r="M12" s="21">
        <f t="shared" si="2"/>
        <v>103</v>
      </c>
      <c r="N12" s="21">
        <f t="shared" si="2"/>
        <v>60</v>
      </c>
      <c r="O12" s="21">
        <f t="shared" si="2"/>
        <v>65</v>
      </c>
    </row>
    <row r="13" spans="1:15" s="21" customFormat="1" ht="15.75" customHeight="1">
      <c r="A13" s="42" t="s">
        <v>1463</v>
      </c>
      <c r="B13" s="35">
        <f t="shared" si="3"/>
        <v>312930</v>
      </c>
      <c r="C13" s="43">
        <f t="shared" ref="C13" si="4">+L13</f>
        <v>7000</v>
      </c>
      <c r="D13" s="37">
        <f>+Shepparton!D13</f>
        <v>6975</v>
      </c>
      <c r="E13" s="37">
        <f>+Shepparton!E13</f>
        <v>3735</v>
      </c>
      <c r="F13" s="38">
        <f t="shared" ref="F13" si="5">SUM(B13:E13)</f>
        <v>330640</v>
      </c>
      <c r="G13" s="37">
        <f>+Shepparton!G13</f>
        <v>5015</v>
      </c>
      <c r="H13" s="20"/>
      <c r="I13" s="39">
        <f>+Lifestyle!BC23</f>
        <v>309921</v>
      </c>
      <c r="J13" s="21">
        <f t="shared" si="2"/>
        <v>0</v>
      </c>
      <c r="K13" s="21">
        <f>+Lifestyle!BD23</f>
        <v>3000</v>
      </c>
      <c r="L13" s="21">
        <f t="shared" si="2"/>
        <v>7000</v>
      </c>
      <c r="M13" s="21">
        <f t="shared" si="2"/>
        <v>103</v>
      </c>
      <c r="N13" s="21">
        <f t="shared" si="2"/>
        <v>60</v>
      </c>
      <c r="O13" s="21">
        <f t="shared" si="2"/>
        <v>65</v>
      </c>
    </row>
    <row r="14" spans="1:15" s="21" customFormat="1" ht="15.75" customHeight="1">
      <c r="A14" s="42" t="s">
        <v>24</v>
      </c>
      <c r="B14" s="35">
        <f t="shared" si="3"/>
        <v>310550</v>
      </c>
      <c r="C14" s="43">
        <f t="shared" si="0"/>
        <v>7000</v>
      </c>
      <c r="D14" s="37">
        <f>+Shepparton!D14</f>
        <v>6855</v>
      </c>
      <c r="E14" s="37">
        <f>+Shepparton!E14</f>
        <v>3875</v>
      </c>
      <c r="F14" s="38">
        <f t="shared" si="1"/>
        <v>328280</v>
      </c>
      <c r="G14" s="37">
        <f>+Shepparton!G14</f>
        <v>4760</v>
      </c>
      <c r="H14" s="20"/>
      <c r="I14" s="39">
        <f>+Lifestyle!BC24</f>
        <v>307545</v>
      </c>
      <c r="J14" s="21">
        <f t="shared" ref="J14:O16" si="6">+J12</f>
        <v>0</v>
      </c>
      <c r="K14" s="21">
        <f>+Lifestyle!BD24</f>
        <v>3000</v>
      </c>
      <c r="L14" s="21">
        <f t="shared" si="6"/>
        <v>7000</v>
      </c>
      <c r="M14" s="21">
        <f t="shared" si="6"/>
        <v>103</v>
      </c>
      <c r="N14" s="21">
        <f t="shared" si="6"/>
        <v>60</v>
      </c>
      <c r="O14" s="21">
        <f t="shared" si="6"/>
        <v>65</v>
      </c>
    </row>
    <row r="15" spans="1:15" s="21" customFormat="1" ht="15.75" customHeight="1">
      <c r="A15" s="42" t="s">
        <v>1625</v>
      </c>
      <c r="B15" s="35">
        <f t="shared" si="3"/>
        <v>316920</v>
      </c>
      <c r="C15" s="43">
        <f t="shared" ref="C15" si="7">+L15</f>
        <v>7000</v>
      </c>
      <c r="D15" s="37">
        <f>+Shepparton!D15</f>
        <v>7470</v>
      </c>
      <c r="E15" s="37">
        <f>+Shepparton!E15</f>
        <v>3615</v>
      </c>
      <c r="F15" s="38">
        <f t="shared" ref="F15" si="8">SUM(B15:E15)</f>
        <v>335005</v>
      </c>
      <c r="G15" s="37">
        <f>+Shepparton!G15</f>
        <v>4760</v>
      </c>
      <c r="H15" s="20"/>
      <c r="I15" s="39">
        <f>+Lifestyle!BC25</f>
        <v>313916</v>
      </c>
      <c r="J15" s="21">
        <f t="shared" si="6"/>
        <v>0</v>
      </c>
      <c r="K15" s="21">
        <f>+Lifestyle!BD25</f>
        <v>3000</v>
      </c>
      <c r="L15" s="21">
        <f t="shared" si="6"/>
        <v>7000</v>
      </c>
      <c r="M15" s="21">
        <f t="shared" si="6"/>
        <v>103</v>
      </c>
      <c r="N15" s="21">
        <f t="shared" si="6"/>
        <v>60</v>
      </c>
      <c r="O15" s="21">
        <f t="shared" si="6"/>
        <v>65</v>
      </c>
    </row>
    <row r="16" spans="1:15" s="21" customFormat="1" ht="15.75" customHeight="1">
      <c r="A16" s="42" t="s">
        <v>25</v>
      </c>
      <c r="B16" s="35">
        <f t="shared" si="3"/>
        <v>328570</v>
      </c>
      <c r="C16" s="43">
        <f t="shared" si="0"/>
        <v>7000</v>
      </c>
      <c r="D16" s="37">
        <f>+Shepparton!D16</f>
        <v>6505</v>
      </c>
      <c r="E16" s="37">
        <f>+Shepparton!E16</f>
        <v>4665</v>
      </c>
      <c r="F16" s="38">
        <f t="shared" si="1"/>
        <v>346740</v>
      </c>
      <c r="G16" s="37">
        <f>+Shepparton!G16</f>
        <v>5015</v>
      </c>
      <c r="H16" s="20"/>
      <c r="I16" s="39">
        <f>+Lifestyle!BC26</f>
        <v>325561</v>
      </c>
      <c r="J16" s="21">
        <f t="shared" si="6"/>
        <v>0</v>
      </c>
      <c r="K16" s="21">
        <f>+Lifestyle!BD26</f>
        <v>3000</v>
      </c>
      <c r="L16" s="21">
        <f t="shared" si="6"/>
        <v>7000</v>
      </c>
      <c r="M16" s="21">
        <f t="shared" si="6"/>
        <v>103</v>
      </c>
      <c r="N16" s="21">
        <f t="shared" si="6"/>
        <v>60</v>
      </c>
      <c r="O16" s="21">
        <f t="shared" si="6"/>
        <v>65</v>
      </c>
    </row>
    <row r="17" spans="1:15" s="21" customFormat="1" ht="15.75" customHeight="1">
      <c r="A17" s="42" t="s">
        <v>26</v>
      </c>
      <c r="B17" s="35">
        <f t="shared" si="3"/>
        <v>337410</v>
      </c>
      <c r="C17" s="43">
        <f t="shared" si="0"/>
        <v>7000</v>
      </c>
      <c r="D17" s="37">
        <f>+Shepparton!D17</f>
        <v>6950</v>
      </c>
      <c r="E17" s="37">
        <f>+Shepparton!E17</f>
        <v>4610</v>
      </c>
      <c r="F17" s="38">
        <f t="shared" si="1"/>
        <v>355970</v>
      </c>
      <c r="G17" s="37">
        <f>+Shepparton!G17</f>
        <v>5440</v>
      </c>
      <c r="H17" s="20"/>
      <c r="I17" s="39">
        <f>+Lifestyle!BC27</f>
        <v>333403</v>
      </c>
      <c r="J17" s="21">
        <f t="shared" si="2"/>
        <v>0</v>
      </c>
      <c r="K17" s="21">
        <f>+Lifestyle!BD27</f>
        <v>4000</v>
      </c>
      <c r="L17" s="21">
        <f t="shared" si="2"/>
        <v>7000</v>
      </c>
      <c r="M17" s="21">
        <f t="shared" si="2"/>
        <v>103</v>
      </c>
      <c r="N17" s="21">
        <f t="shared" si="2"/>
        <v>60</v>
      </c>
      <c r="O17" s="21">
        <f t="shared" si="2"/>
        <v>65</v>
      </c>
    </row>
    <row r="18" spans="1:15" s="21" customFormat="1" ht="15.75" customHeight="1">
      <c r="A18" s="42" t="s">
        <v>27</v>
      </c>
      <c r="B18" s="35">
        <f t="shared" si="3"/>
        <v>347550</v>
      </c>
      <c r="C18" s="43">
        <f t="shared" si="0"/>
        <v>7000</v>
      </c>
      <c r="D18" s="37">
        <f>+Shepparton!D18</f>
        <v>7040</v>
      </c>
      <c r="E18" s="37">
        <f>+Shepparton!E18</f>
        <v>4655</v>
      </c>
      <c r="F18" s="38">
        <f t="shared" si="1"/>
        <v>366245</v>
      </c>
      <c r="G18" s="37">
        <f>+Shepparton!G18</f>
        <v>5440</v>
      </c>
      <c r="H18" s="20"/>
      <c r="I18" s="39">
        <f>+Lifestyle!BC28</f>
        <v>343545</v>
      </c>
      <c r="J18" s="21">
        <f t="shared" si="2"/>
        <v>0</v>
      </c>
      <c r="K18" s="21">
        <f>+Lifestyle!BD28</f>
        <v>4000</v>
      </c>
      <c r="L18" s="21">
        <f t="shared" si="2"/>
        <v>7000</v>
      </c>
      <c r="M18" s="21">
        <f t="shared" si="2"/>
        <v>103</v>
      </c>
      <c r="N18" s="21">
        <f t="shared" si="2"/>
        <v>60</v>
      </c>
      <c r="O18" s="21">
        <f t="shared" si="2"/>
        <v>65</v>
      </c>
    </row>
    <row r="19" spans="1:15" s="21" customFormat="1" ht="15.75" customHeight="1">
      <c r="A19" s="42" t="s">
        <v>28</v>
      </c>
      <c r="B19" s="35">
        <f t="shared" si="3"/>
        <v>344210</v>
      </c>
      <c r="C19" s="43">
        <f t="shared" si="0"/>
        <v>7000</v>
      </c>
      <c r="D19" s="37">
        <f>+Shepparton!D19</f>
        <v>7050</v>
      </c>
      <c r="E19" s="37">
        <f>+Shepparton!E19</f>
        <v>4900</v>
      </c>
      <c r="F19" s="38">
        <f t="shared" si="1"/>
        <v>363160</v>
      </c>
      <c r="G19" s="37">
        <f>+Shepparton!G19</f>
        <v>5270</v>
      </c>
      <c r="H19" s="20"/>
      <c r="I19" s="39">
        <f>+Lifestyle!BC29</f>
        <v>340209</v>
      </c>
      <c r="J19" s="21">
        <f t="shared" si="2"/>
        <v>0</v>
      </c>
      <c r="K19" s="21">
        <f>+Lifestyle!BD29</f>
        <v>4000</v>
      </c>
      <c r="L19" s="21">
        <f t="shared" si="2"/>
        <v>7000</v>
      </c>
      <c r="M19" s="21">
        <f t="shared" si="2"/>
        <v>103</v>
      </c>
      <c r="N19" s="21">
        <f t="shared" si="2"/>
        <v>60</v>
      </c>
      <c r="O19" s="21">
        <f t="shared" si="2"/>
        <v>65</v>
      </c>
    </row>
    <row r="20" spans="1:15" s="21" customFormat="1" ht="15.75" customHeight="1">
      <c r="A20" s="42" t="s">
        <v>29</v>
      </c>
      <c r="B20" s="35">
        <f t="shared" si="3"/>
        <v>356220</v>
      </c>
      <c r="C20" s="43">
        <f t="shared" si="0"/>
        <v>7000</v>
      </c>
      <c r="D20" s="37">
        <f>+Shepparton!D20</f>
        <v>7995</v>
      </c>
      <c r="E20" s="37">
        <f>+Shepparton!E20</f>
        <v>6080</v>
      </c>
      <c r="F20" s="38">
        <f t="shared" si="1"/>
        <v>377295</v>
      </c>
      <c r="G20" s="37">
        <f>+Shepparton!G20</f>
        <v>5525</v>
      </c>
      <c r="H20" s="20"/>
      <c r="I20" s="39">
        <f>+Lifestyle!BC30</f>
        <v>352214</v>
      </c>
      <c r="J20" s="21">
        <f t="shared" si="2"/>
        <v>0</v>
      </c>
      <c r="K20" s="21">
        <f>+Lifestyle!BD30</f>
        <v>4000</v>
      </c>
      <c r="L20" s="21">
        <f t="shared" si="2"/>
        <v>7000</v>
      </c>
      <c r="M20" s="21">
        <f t="shared" si="2"/>
        <v>103</v>
      </c>
      <c r="N20" s="21">
        <f t="shared" si="2"/>
        <v>60</v>
      </c>
      <c r="O20" s="21">
        <f t="shared" si="2"/>
        <v>65</v>
      </c>
    </row>
    <row r="21" spans="1:15" s="21" customFormat="1" ht="15.75" customHeight="1">
      <c r="A21" s="42" t="s">
        <v>30</v>
      </c>
      <c r="B21" s="35">
        <f t="shared" si="3"/>
        <v>360760</v>
      </c>
      <c r="C21" s="43">
        <f t="shared" si="0"/>
        <v>7000</v>
      </c>
      <c r="D21" s="37">
        <f>+Shepparton!D21</f>
        <v>8895</v>
      </c>
      <c r="E21" s="37">
        <f>+Shepparton!E21</f>
        <v>4395</v>
      </c>
      <c r="F21" s="38">
        <f t="shared" si="1"/>
        <v>381050</v>
      </c>
      <c r="G21" s="37">
        <f>+Shepparton!G21</f>
        <v>5525</v>
      </c>
      <c r="H21" s="20"/>
      <c r="I21" s="39">
        <f>+Lifestyle!BC31</f>
        <v>356760</v>
      </c>
      <c r="J21" s="21">
        <f t="shared" si="2"/>
        <v>0</v>
      </c>
      <c r="K21" s="21">
        <f>+Lifestyle!BD31</f>
        <v>4000</v>
      </c>
      <c r="L21" s="21">
        <f t="shared" si="2"/>
        <v>7000</v>
      </c>
      <c r="M21" s="21">
        <f t="shared" si="2"/>
        <v>103</v>
      </c>
      <c r="N21" s="21">
        <f t="shared" si="2"/>
        <v>60</v>
      </c>
      <c r="O21" s="21">
        <f t="shared" si="2"/>
        <v>65</v>
      </c>
    </row>
    <row r="22" spans="1:15" s="21" customFormat="1" ht="15.75" customHeight="1">
      <c r="A22" s="42" t="s">
        <v>1400</v>
      </c>
      <c r="B22" s="35">
        <f t="shared" si="3"/>
        <v>368510</v>
      </c>
      <c r="C22" s="43">
        <f t="shared" ref="C22" si="9">+L22</f>
        <v>7000</v>
      </c>
      <c r="D22" s="37">
        <f>+Shepparton!D22</f>
        <v>9335</v>
      </c>
      <c r="E22" s="37">
        <f>+Shepparton!E22</f>
        <v>5835</v>
      </c>
      <c r="F22" s="38">
        <f t="shared" ref="F22" si="10">SUM(B22:E22)</f>
        <v>390680</v>
      </c>
      <c r="G22" s="37">
        <f>+Shepparton!G22</f>
        <v>5525</v>
      </c>
      <c r="H22" s="20"/>
      <c r="I22" s="39">
        <f>+Lifestyle!BC32</f>
        <v>364509</v>
      </c>
      <c r="J22" s="21">
        <f t="shared" ref="J22:O22" si="11">+J21</f>
        <v>0</v>
      </c>
      <c r="K22" s="21">
        <f>+Lifestyle!BD32</f>
        <v>4000</v>
      </c>
      <c r="L22" s="21">
        <f t="shared" si="11"/>
        <v>7000</v>
      </c>
      <c r="M22" s="21">
        <f t="shared" si="11"/>
        <v>103</v>
      </c>
      <c r="N22" s="21">
        <f t="shared" si="11"/>
        <v>60</v>
      </c>
      <c r="O22" s="21">
        <f t="shared" si="11"/>
        <v>65</v>
      </c>
    </row>
    <row r="23" spans="1:15" s="21" customFormat="1" ht="15.75" customHeight="1">
      <c r="A23" s="42" t="s">
        <v>1019</v>
      </c>
      <c r="B23" s="35">
        <f t="shared" si="3"/>
        <v>328840</v>
      </c>
      <c r="C23" s="43">
        <f t="shared" si="0"/>
        <v>7000</v>
      </c>
      <c r="D23" s="37">
        <f>+Shepparton!D23</f>
        <v>7970</v>
      </c>
      <c r="E23" s="37">
        <f>+Shepparton!E23</f>
        <v>3015</v>
      </c>
      <c r="F23" s="38">
        <f t="shared" si="1"/>
        <v>346825</v>
      </c>
      <c r="G23" s="37">
        <f>+Shepparton!G23</f>
        <v>4505</v>
      </c>
      <c r="H23" s="20"/>
      <c r="I23" s="39">
        <f>+Lifestyle!BC33</f>
        <v>325831</v>
      </c>
      <c r="J23" s="21">
        <f t="shared" ref="J23:O23" si="12">+J22</f>
        <v>0</v>
      </c>
      <c r="K23" s="21">
        <f>+Lifestyle!BD33</f>
        <v>3000</v>
      </c>
      <c r="L23" s="21">
        <f t="shared" si="12"/>
        <v>7000</v>
      </c>
      <c r="M23" s="21">
        <f t="shared" si="12"/>
        <v>103</v>
      </c>
      <c r="N23" s="21">
        <f t="shared" si="12"/>
        <v>60</v>
      </c>
      <c r="O23" s="21">
        <f t="shared" si="12"/>
        <v>65</v>
      </c>
    </row>
    <row r="24" spans="1:15" s="21" customFormat="1" ht="15.75" customHeight="1">
      <c r="A24" s="42" t="s">
        <v>31</v>
      </c>
      <c r="B24" s="35">
        <f t="shared" si="3"/>
        <v>377980</v>
      </c>
      <c r="C24" s="43">
        <f t="shared" si="0"/>
        <v>7000</v>
      </c>
      <c r="D24" s="37">
        <f>+Shepparton!D24</f>
        <v>9640</v>
      </c>
      <c r="E24" s="37">
        <f>+Shepparton!E24</f>
        <v>5305</v>
      </c>
      <c r="F24" s="38">
        <f t="shared" si="1"/>
        <v>399925</v>
      </c>
      <c r="G24" s="37">
        <f>+Shepparton!G24</f>
        <v>5695</v>
      </c>
      <c r="H24" s="20"/>
      <c r="I24" s="39">
        <f>+Lifestyle!BC34</f>
        <v>373971</v>
      </c>
      <c r="J24" s="21">
        <f t="shared" si="2"/>
        <v>0</v>
      </c>
      <c r="K24" s="21">
        <f>+Lifestyle!BD34</f>
        <v>4000</v>
      </c>
      <c r="L24" s="21">
        <f t="shared" si="2"/>
        <v>7000</v>
      </c>
      <c r="M24" s="21">
        <f t="shared" si="2"/>
        <v>103</v>
      </c>
      <c r="N24" s="21">
        <f t="shared" si="2"/>
        <v>60</v>
      </c>
      <c r="O24" s="21">
        <f t="shared" si="2"/>
        <v>65</v>
      </c>
    </row>
    <row r="25" spans="1:15" s="21" customFormat="1" ht="15.75" customHeight="1">
      <c r="A25" s="42" t="s">
        <v>1339</v>
      </c>
      <c r="B25" s="35">
        <f t="shared" si="3"/>
        <v>380300</v>
      </c>
      <c r="C25" s="43">
        <f>+L25</f>
        <v>7000</v>
      </c>
      <c r="D25" s="37">
        <f>+Shepparton!D25</f>
        <v>10765</v>
      </c>
      <c r="E25" s="37">
        <f>+Shepparton!E25</f>
        <v>5680</v>
      </c>
      <c r="F25" s="38">
        <f>SUM(B25:E25)</f>
        <v>403745</v>
      </c>
      <c r="G25" s="37">
        <f>+Shepparton!G25</f>
        <v>5950</v>
      </c>
      <c r="H25" s="20"/>
      <c r="I25" s="39">
        <f>+Lifestyle!BC35</f>
        <v>376292</v>
      </c>
      <c r="J25" s="21">
        <f t="shared" si="2"/>
        <v>0</v>
      </c>
      <c r="K25" s="21">
        <f>+Lifestyle!BD35</f>
        <v>4000</v>
      </c>
      <c r="L25" s="21">
        <f t="shared" si="2"/>
        <v>7000</v>
      </c>
      <c r="M25" s="21">
        <f t="shared" si="2"/>
        <v>103</v>
      </c>
      <c r="N25" s="21">
        <f t="shared" si="2"/>
        <v>60</v>
      </c>
      <c r="O25" s="21">
        <f t="shared" si="2"/>
        <v>65</v>
      </c>
    </row>
    <row r="26" spans="1:15" s="21" customFormat="1" ht="15.75" customHeight="1">
      <c r="A26" s="42" t="s">
        <v>1020</v>
      </c>
      <c r="B26" s="35">
        <f t="shared" si="3"/>
        <v>412310</v>
      </c>
      <c r="C26" s="43">
        <f t="shared" si="0"/>
        <v>7000</v>
      </c>
      <c r="D26" s="37">
        <f>+Shepparton!D26</f>
        <v>11835</v>
      </c>
      <c r="E26" s="37">
        <f>+Shepparton!E26</f>
        <v>5245</v>
      </c>
      <c r="F26" s="38">
        <f t="shared" si="1"/>
        <v>436390</v>
      </c>
      <c r="G26" s="37">
        <f>+Shepparton!G26</f>
        <v>6375</v>
      </c>
      <c r="H26" s="20"/>
      <c r="I26" s="39">
        <f>+Lifestyle!BC36</f>
        <v>408310</v>
      </c>
      <c r="J26" s="21">
        <f>+J24</f>
        <v>0</v>
      </c>
      <c r="K26" s="21">
        <f>+Lifestyle!BD36</f>
        <v>4000</v>
      </c>
      <c r="L26" s="21">
        <f>+L24</f>
        <v>7000</v>
      </c>
      <c r="M26" s="21">
        <f>+M24</f>
        <v>103</v>
      </c>
      <c r="N26" s="21">
        <f>+N24</f>
        <v>60</v>
      </c>
      <c r="O26" s="21">
        <f>+O24</f>
        <v>65</v>
      </c>
    </row>
    <row r="27" spans="1:15" s="21" customFormat="1" ht="15.75" customHeight="1">
      <c r="A27" s="42" t="s">
        <v>1021</v>
      </c>
      <c r="B27" s="35">
        <f t="shared" si="3"/>
        <v>457350</v>
      </c>
      <c r="C27" s="43">
        <f t="shared" si="0"/>
        <v>7000</v>
      </c>
      <c r="D27" s="37">
        <f>+Shepparton!D27</f>
        <v>13260</v>
      </c>
      <c r="E27" s="37">
        <f>+Shepparton!E27</f>
        <v>7725</v>
      </c>
      <c r="F27" s="38">
        <f t="shared" si="1"/>
        <v>485335</v>
      </c>
      <c r="G27" s="37">
        <f>+Shepparton!G27</f>
        <v>6800</v>
      </c>
      <c r="H27" s="20"/>
      <c r="I27" s="39">
        <f>+Lifestyle!BC37</f>
        <v>453342</v>
      </c>
      <c r="J27" s="21">
        <f t="shared" ref="J27:O40" si="13">+J26</f>
        <v>0</v>
      </c>
      <c r="K27" s="21">
        <f>+Lifestyle!BD37</f>
        <v>4000</v>
      </c>
      <c r="L27" s="21">
        <f t="shared" si="13"/>
        <v>7000</v>
      </c>
      <c r="M27" s="21">
        <f t="shared" si="13"/>
        <v>103</v>
      </c>
      <c r="N27" s="21">
        <f t="shared" si="13"/>
        <v>60</v>
      </c>
      <c r="O27" s="21">
        <f t="shared" si="13"/>
        <v>65</v>
      </c>
    </row>
    <row r="28" spans="1:15" s="21" customFormat="1" ht="15.75" customHeight="1">
      <c r="A28" s="42" t="str">
        <f>+Lifestyle!A38</f>
        <v>Bathurst 25</v>
      </c>
      <c r="B28" s="35">
        <f t="shared" si="3"/>
        <v>360680</v>
      </c>
      <c r="C28" s="43">
        <f t="shared" ref="C28:C31" si="14">+L28</f>
        <v>7000</v>
      </c>
      <c r="D28" s="37">
        <f>+Shepparton!D28</f>
        <v>7285</v>
      </c>
      <c r="E28" s="37">
        <f>+Shepparton!E28</f>
        <v>3960</v>
      </c>
      <c r="F28" s="38">
        <f t="shared" ref="F28:F31" si="15">SUM(B28:E28)</f>
        <v>378925</v>
      </c>
      <c r="G28" s="37">
        <f>+Shepparton!G28</f>
        <v>5185</v>
      </c>
      <c r="H28" s="20"/>
      <c r="I28" s="39">
        <f>+Lifestyle!BC38</f>
        <v>356677</v>
      </c>
      <c r="J28" s="21">
        <f t="shared" ref="J28:O28" si="16">+J27</f>
        <v>0</v>
      </c>
      <c r="K28" s="21">
        <f>+Lifestyle!BD38</f>
        <v>4000</v>
      </c>
      <c r="L28" s="21">
        <f t="shared" si="16"/>
        <v>7000</v>
      </c>
      <c r="M28" s="21">
        <f t="shared" si="16"/>
        <v>103</v>
      </c>
      <c r="N28" s="21">
        <f t="shared" si="16"/>
        <v>60</v>
      </c>
      <c r="O28" s="21">
        <f t="shared" si="16"/>
        <v>65</v>
      </c>
    </row>
    <row r="29" spans="1:15" s="21" customFormat="1" ht="15.75" customHeight="1">
      <c r="A29" s="42" t="str">
        <f>+Lifestyle!A39</f>
        <v>Bathurst 30</v>
      </c>
      <c r="B29" s="35">
        <f t="shared" si="3"/>
        <v>407720</v>
      </c>
      <c r="C29" s="43">
        <f t="shared" si="14"/>
        <v>7000</v>
      </c>
      <c r="D29" s="37">
        <f>+Shepparton!D29</f>
        <v>8780</v>
      </c>
      <c r="E29" s="37">
        <f>+Shepparton!E29</f>
        <v>5635</v>
      </c>
      <c r="F29" s="38">
        <f t="shared" si="15"/>
        <v>429135</v>
      </c>
      <c r="G29" s="37">
        <f>+Shepparton!G29</f>
        <v>5950</v>
      </c>
      <c r="H29" s="20"/>
      <c r="I29" s="39">
        <f>+Lifestyle!BC39</f>
        <v>403713</v>
      </c>
      <c r="J29" s="21">
        <f t="shared" ref="J29:O29" si="17">+J28</f>
        <v>0</v>
      </c>
      <c r="K29" s="21">
        <f>+Lifestyle!BD39</f>
        <v>4000</v>
      </c>
      <c r="L29" s="21">
        <f t="shared" si="17"/>
        <v>7000</v>
      </c>
      <c r="M29" s="21">
        <f t="shared" si="17"/>
        <v>103</v>
      </c>
      <c r="N29" s="21">
        <f t="shared" si="17"/>
        <v>60</v>
      </c>
      <c r="O29" s="21">
        <f t="shared" si="17"/>
        <v>65</v>
      </c>
    </row>
    <row r="30" spans="1:15" s="21" customFormat="1" ht="15.75" customHeight="1">
      <c r="A30" s="42" t="str">
        <f>+Lifestyle!A40</f>
        <v>Bathurst 34</v>
      </c>
      <c r="B30" s="35">
        <f t="shared" si="3"/>
        <v>426050</v>
      </c>
      <c r="C30" s="43">
        <f t="shared" si="14"/>
        <v>7000</v>
      </c>
      <c r="D30" s="37">
        <f>+Shepparton!D30</f>
        <v>9675</v>
      </c>
      <c r="E30" s="37">
        <f>+Shepparton!E30</f>
        <v>6350</v>
      </c>
      <c r="F30" s="38">
        <f t="shared" si="15"/>
        <v>449075</v>
      </c>
      <c r="G30" s="37">
        <f>+Shepparton!G30</f>
        <v>6290</v>
      </c>
      <c r="H30" s="20"/>
      <c r="I30" s="39">
        <f>+Lifestyle!BC40</f>
        <v>422047</v>
      </c>
      <c r="J30" s="21">
        <f t="shared" ref="J30:O30" si="18">+J29</f>
        <v>0</v>
      </c>
      <c r="K30" s="21">
        <f>+Lifestyle!BD40</f>
        <v>4000</v>
      </c>
      <c r="L30" s="21">
        <f t="shared" si="18"/>
        <v>7000</v>
      </c>
      <c r="M30" s="21">
        <f t="shared" si="18"/>
        <v>103</v>
      </c>
      <c r="N30" s="21">
        <f t="shared" si="18"/>
        <v>60</v>
      </c>
      <c r="O30" s="21">
        <f t="shared" si="18"/>
        <v>65</v>
      </c>
    </row>
    <row r="31" spans="1:15" s="21" customFormat="1" ht="15.75" customHeight="1">
      <c r="A31" s="42" t="s">
        <v>32</v>
      </c>
      <c r="B31" s="35">
        <f t="shared" si="3"/>
        <v>330140</v>
      </c>
      <c r="C31" s="43">
        <f t="shared" si="14"/>
        <v>7000</v>
      </c>
      <c r="D31" s="37">
        <f>+Shepparton!D31</f>
        <v>8145</v>
      </c>
      <c r="E31" s="37">
        <f>+Shepparton!E31</f>
        <v>3005</v>
      </c>
      <c r="F31" s="38">
        <f t="shared" si="15"/>
        <v>348290</v>
      </c>
      <c r="G31" s="37">
        <f>+Shepparton!G31</f>
        <v>4760</v>
      </c>
      <c r="H31" s="20"/>
      <c r="I31" s="39">
        <f>+Lifestyle!BC41</f>
        <v>327135</v>
      </c>
      <c r="J31" s="21">
        <f t="shared" ref="J31:O31" si="19">+J30</f>
        <v>0</v>
      </c>
      <c r="K31" s="21">
        <f>+Lifestyle!BD41</f>
        <v>3000</v>
      </c>
      <c r="L31" s="21">
        <f t="shared" si="19"/>
        <v>7000</v>
      </c>
      <c r="M31" s="21">
        <f t="shared" si="19"/>
        <v>103</v>
      </c>
      <c r="N31" s="21">
        <f t="shared" si="19"/>
        <v>60</v>
      </c>
      <c r="O31" s="21">
        <f t="shared" si="19"/>
        <v>65</v>
      </c>
    </row>
    <row r="32" spans="1:15" s="21" customFormat="1" ht="15.75" customHeight="1">
      <c r="A32" s="42" t="s">
        <v>33</v>
      </c>
      <c r="B32" s="35">
        <f t="shared" si="3"/>
        <v>353100</v>
      </c>
      <c r="C32" s="43">
        <f t="shared" si="0"/>
        <v>7000</v>
      </c>
      <c r="D32" s="37">
        <f>+Shepparton!D32</f>
        <v>7115</v>
      </c>
      <c r="E32" s="37">
        <f>+Shepparton!E32</f>
        <v>5060</v>
      </c>
      <c r="F32" s="38">
        <f t="shared" si="1"/>
        <v>372275</v>
      </c>
      <c r="G32" s="37">
        <f>+Shepparton!G32</f>
        <v>5270</v>
      </c>
      <c r="H32" s="20"/>
      <c r="I32" s="39">
        <f>+Lifestyle!BC42</f>
        <v>349100</v>
      </c>
      <c r="J32" s="21">
        <f t="shared" si="13"/>
        <v>0</v>
      </c>
      <c r="K32" s="21">
        <f>+Lifestyle!BD42</f>
        <v>4000</v>
      </c>
      <c r="L32" s="21">
        <f t="shared" si="13"/>
        <v>7000</v>
      </c>
      <c r="M32" s="21">
        <f t="shared" si="13"/>
        <v>103</v>
      </c>
      <c r="N32" s="21">
        <f t="shared" si="13"/>
        <v>60</v>
      </c>
      <c r="O32" s="21">
        <f t="shared" si="13"/>
        <v>65</v>
      </c>
    </row>
    <row r="33" spans="1:15" s="21" customFormat="1" ht="15.75" customHeight="1">
      <c r="A33" s="42" t="s">
        <v>34</v>
      </c>
      <c r="B33" s="35">
        <f t="shared" si="3"/>
        <v>390550</v>
      </c>
      <c r="C33" s="43">
        <f t="shared" si="0"/>
        <v>7000</v>
      </c>
      <c r="D33" s="37">
        <f>+Shepparton!D33</f>
        <v>8295</v>
      </c>
      <c r="E33" s="37">
        <f>+Shepparton!E33</f>
        <v>6975</v>
      </c>
      <c r="F33" s="38">
        <f t="shared" si="1"/>
        <v>412820</v>
      </c>
      <c r="G33" s="37">
        <f>+Shepparton!G33</f>
        <v>6120</v>
      </c>
      <c r="H33" s="20"/>
      <c r="I33" s="39">
        <f>+Lifestyle!BC43</f>
        <v>386547</v>
      </c>
      <c r="J33" s="21">
        <f t="shared" si="13"/>
        <v>0</v>
      </c>
      <c r="K33" s="21">
        <f>+Lifestyle!BD43</f>
        <v>4000</v>
      </c>
      <c r="L33" s="21">
        <f t="shared" si="13"/>
        <v>7000</v>
      </c>
      <c r="M33" s="21">
        <f t="shared" si="13"/>
        <v>103</v>
      </c>
      <c r="N33" s="21">
        <f t="shared" si="13"/>
        <v>60</v>
      </c>
      <c r="O33" s="21">
        <f t="shared" si="13"/>
        <v>65</v>
      </c>
    </row>
    <row r="34" spans="1:15" s="21" customFormat="1" ht="15.75" customHeight="1">
      <c r="A34" s="42" t="s">
        <v>35</v>
      </c>
      <c r="B34" s="35">
        <f t="shared" si="3"/>
        <v>343960</v>
      </c>
      <c r="C34" s="43">
        <f t="shared" si="0"/>
        <v>7000</v>
      </c>
      <c r="D34" s="37">
        <f>+Shepparton!D34</f>
        <v>9315</v>
      </c>
      <c r="E34" s="37">
        <f>+Shepparton!E34</f>
        <v>3765</v>
      </c>
      <c r="F34" s="38">
        <f t="shared" si="1"/>
        <v>364040</v>
      </c>
      <c r="G34" s="37">
        <f>+Shepparton!G34</f>
        <v>5355</v>
      </c>
      <c r="H34" s="20"/>
      <c r="I34" s="39">
        <f>+Lifestyle!BC44</f>
        <v>339954</v>
      </c>
      <c r="J34" s="21">
        <f t="shared" si="13"/>
        <v>0</v>
      </c>
      <c r="K34" s="21">
        <f>+Lifestyle!BD44</f>
        <v>4000</v>
      </c>
      <c r="L34" s="21">
        <f t="shared" si="13"/>
        <v>7000</v>
      </c>
      <c r="M34" s="21">
        <f t="shared" si="13"/>
        <v>103</v>
      </c>
      <c r="N34" s="21">
        <f t="shared" si="13"/>
        <v>60</v>
      </c>
      <c r="O34" s="21">
        <f t="shared" si="13"/>
        <v>65</v>
      </c>
    </row>
    <row r="35" spans="1:15" s="21" customFormat="1" ht="15.75" customHeight="1">
      <c r="A35" s="42" t="s">
        <v>36</v>
      </c>
      <c r="B35" s="35">
        <f t="shared" si="3"/>
        <v>383710</v>
      </c>
      <c r="C35" s="43">
        <f t="shared" si="0"/>
        <v>7000</v>
      </c>
      <c r="D35" s="37">
        <f>+Shepparton!D35</f>
        <v>10850</v>
      </c>
      <c r="E35" s="37">
        <f>+Shepparton!E35</f>
        <v>5070</v>
      </c>
      <c r="F35" s="38">
        <f t="shared" si="1"/>
        <v>406630</v>
      </c>
      <c r="G35" s="37">
        <f>+Shepparton!G35</f>
        <v>5780</v>
      </c>
      <c r="H35" s="20"/>
      <c r="I35" s="39">
        <f>+Lifestyle!BC45</f>
        <v>379707</v>
      </c>
      <c r="J35" s="21">
        <f t="shared" si="13"/>
        <v>0</v>
      </c>
      <c r="K35" s="21">
        <f>+Lifestyle!BD45</f>
        <v>4000</v>
      </c>
      <c r="L35" s="21">
        <f t="shared" si="13"/>
        <v>7000</v>
      </c>
      <c r="M35" s="21">
        <f t="shared" si="13"/>
        <v>103</v>
      </c>
      <c r="N35" s="21">
        <f t="shared" si="13"/>
        <v>60</v>
      </c>
      <c r="O35" s="21">
        <f t="shared" si="13"/>
        <v>65</v>
      </c>
    </row>
    <row r="36" spans="1:15" s="21" customFormat="1" ht="15.75" customHeight="1">
      <c r="A36" s="42" t="s">
        <v>37</v>
      </c>
      <c r="B36" s="35">
        <f t="shared" si="3"/>
        <v>413150</v>
      </c>
      <c r="C36" s="43">
        <f t="shared" si="0"/>
        <v>7000</v>
      </c>
      <c r="D36" s="37">
        <f>+Shepparton!D36</f>
        <v>12315</v>
      </c>
      <c r="E36" s="37">
        <f>+Shepparton!E36</f>
        <v>6445</v>
      </c>
      <c r="F36" s="38">
        <f t="shared" si="1"/>
        <v>438910</v>
      </c>
      <c r="G36" s="37">
        <f>+Shepparton!G36</f>
        <v>5865</v>
      </c>
      <c r="H36" s="20"/>
      <c r="I36" s="39">
        <f>+Lifestyle!BC46</f>
        <v>409146</v>
      </c>
      <c r="J36" s="21">
        <f t="shared" si="13"/>
        <v>0</v>
      </c>
      <c r="K36" s="21">
        <f>+Lifestyle!BD46</f>
        <v>4000</v>
      </c>
      <c r="L36" s="21">
        <f t="shared" si="13"/>
        <v>7000</v>
      </c>
      <c r="M36" s="21">
        <f t="shared" si="13"/>
        <v>103</v>
      </c>
      <c r="N36" s="21">
        <f t="shared" si="13"/>
        <v>60</v>
      </c>
      <c r="O36" s="21">
        <f t="shared" si="13"/>
        <v>65</v>
      </c>
    </row>
    <row r="37" spans="1:15" s="21" customFormat="1" ht="15.75" customHeight="1">
      <c r="A37" s="42" t="s">
        <v>38</v>
      </c>
      <c r="B37" s="35">
        <f t="shared" si="3"/>
        <v>322820</v>
      </c>
      <c r="C37" s="43">
        <f t="shared" si="0"/>
        <v>7000</v>
      </c>
      <c r="D37" s="37">
        <f>+Shepparton!D37</f>
        <v>7965</v>
      </c>
      <c r="E37" s="37">
        <f>+Shepparton!E37</f>
        <v>3465</v>
      </c>
      <c r="F37" s="38">
        <f t="shared" si="1"/>
        <v>341250</v>
      </c>
      <c r="G37" s="37">
        <f>+Shepparton!G37</f>
        <v>4845</v>
      </c>
      <c r="H37" s="20"/>
      <c r="I37" s="39">
        <f>+Lifestyle!BC47</f>
        <v>319820</v>
      </c>
      <c r="J37" s="21">
        <f t="shared" si="13"/>
        <v>0</v>
      </c>
      <c r="K37" s="21">
        <f>+Lifestyle!BD47</f>
        <v>3000</v>
      </c>
      <c r="L37" s="21">
        <f t="shared" si="13"/>
        <v>7000</v>
      </c>
      <c r="M37" s="21">
        <f t="shared" si="13"/>
        <v>103</v>
      </c>
      <c r="N37" s="21">
        <f t="shared" si="13"/>
        <v>60</v>
      </c>
      <c r="O37" s="21">
        <f t="shared" si="13"/>
        <v>65</v>
      </c>
    </row>
    <row r="38" spans="1:15" s="21" customFormat="1" ht="15.75" customHeight="1">
      <c r="A38" s="42" t="s">
        <v>39</v>
      </c>
      <c r="B38" s="35">
        <f t="shared" si="3"/>
        <v>342820</v>
      </c>
      <c r="C38" s="43">
        <f t="shared" si="0"/>
        <v>7000</v>
      </c>
      <c r="D38" s="37">
        <f>+Shepparton!D38</f>
        <v>7465</v>
      </c>
      <c r="E38" s="37">
        <f>+Shepparton!E38</f>
        <v>4845</v>
      </c>
      <c r="F38" s="38">
        <f t="shared" si="1"/>
        <v>362130</v>
      </c>
      <c r="G38" s="37">
        <f>+Shepparton!G38</f>
        <v>4845</v>
      </c>
      <c r="H38" s="20"/>
      <c r="I38" s="39">
        <f>+Lifestyle!BC48</f>
        <v>339818</v>
      </c>
      <c r="J38" s="21">
        <f t="shared" si="13"/>
        <v>0</v>
      </c>
      <c r="K38" s="21">
        <f>+Lifestyle!BD48</f>
        <v>3000</v>
      </c>
      <c r="L38" s="21">
        <f t="shared" si="13"/>
        <v>7000</v>
      </c>
      <c r="M38" s="21">
        <f t="shared" si="13"/>
        <v>103</v>
      </c>
      <c r="N38" s="21">
        <f t="shared" si="13"/>
        <v>60</v>
      </c>
      <c r="O38" s="21">
        <f t="shared" si="13"/>
        <v>65</v>
      </c>
    </row>
    <row r="39" spans="1:15" s="21" customFormat="1" ht="15.75" customHeight="1">
      <c r="A39" s="42" t="s">
        <v>40</v>
      </c>
      <c r="B39" s="35">
        <f t="shared" si="3"/>
        <v>359290</v>
      </c>
      <c r="C39" s="43">
        <f t="shared" si="0"/>
        <v>7000</v>
      </c>
      <c r="D39" s="37">
        <f>+Shepparton!D39</f>
        <v>8805</v>
      </c>
      <c r="E39" s="37">
        <f>+Shepparton!E39</f>
        <v>5280</v>
      </c>
      <c r="F39" s="38">
        <f t="shared" si="1"/>
        <v>380375</v>
      </c>
      <c r="G39" s="37">
        <f>+Shepparton!G39</f>
        <v>5100</v>
      </c>
      <c r="H39" s="20"/>
      <c r="I39" s="39">
        <f>+Lifestyle!BC49</f>
        <v>355281</v>
      </c>
      <c r="J39" s="21">
        <f t="shared" si="13"/>
        <v>0</v>
      </c>
      <c r="K39" s="21">
        <f>+Lifestyle!BD49</f>
        <v>4000</v>
      </c>
      <c r="L39" s="21">
        <f t="shared" si="13"/>
        <v>7000</v>
      </c>
      <c r="M39" s="21">
        <f t="shared" si="13"/>
        <v>103</v>
      </c>
      <c r="N39" s="21">
        <f t="shared" si="13"/>
        <v>60</v>
      </c>
      <c r="O39" s="21">
        <f t="shared" si="13"/>
        <v>65</v>
      </c>
    </row>
    <row r="40" spans="1:15" s="21" customFormat="1" ht="15.75" customHeight="1">
      <c r="A40" s="42" t="s">
        <v>41</v>
      </c>
      <c r="B40" s="35">
        <f t="shared" si="3"/>
        <v>389270</v>
      </c>
      <c r="C40" s="43">
        <f t="shared" si="0"/>
        <v>7000</v>
      </c>
      <c r="D40" s="37">
        <f>+Shepparton!D40</f>
        <v>8275</v>
      </c>
      <c r="E40" s="37">
        <f>+Shepparton!E40</f>
        <v>7495</v>
      </c>
      <c r="F40" s="38">
        <f t="shared" si="1"/>
        <v>412040</v>
      </c>
      <c r="G40" s="37">
        <f>+Shepparton!G40</f>
        <v>5525</v>
      </c>
      <c r="H40" s="20"/>
      <c r="I40" s="39">
        <f>+Lifestyle!BC50</f>
        <v>385270</v>
      </c>
      <c r="J40" s="21">
        <f t="shared" si="13"/>
        <v>0</v>
      </c>
      <c r="K40" s="21">
        <f>+Lifestyle!BD50</f>
        <v>4000</v>
      </c>
      <c r="L40" s="21">
        <f t="shared" si="13"/>
        <v>7000</v>
      </c>
      <c r="M40" s="21">
        <f t="shared" si="13"/>
        <v>103</v>
      </c>
      <c r="N40" s="21">
        <f t="shared" si="13"/>
        <v>60</v>
      </c>
      <c r="O40" s="21">
        <f t="shared" si="13"/>
        <v>65</v>
      </c>
    </row>
    <row r="41" spans="1:15" s="21" customFormat="1" ht="13.5" customHeight="1" thickBot="1">
      <c r="C41" s="44"/>
      <c r="D41" s="44"/>
      <c r="E41" s="44"/>
      <c r="F41" s="45"/>
      <c r="G41" s="45"/>
      <c r="H41" s="20"/>
      <c r="L41" s="39"/>
    </row>
    <row r="42" spans="1:15" s="21" customFormat="1" ht="13.5" customHeight="1">
      <c r="A42" s="46" t="s">
        <v>187</v>
      </c>
      <c r="B42" s="47"/>
      <c r="C42" s="44"/>
      <c r="D42" s="44"/>
      <c r="E42" s="48" t="s">
        <v>188</v>
      </c>
      <c r="F42" s="49"/>
      <c r="G42" s="50"/>
      <c r="H42" s="20"/>
      <c r="L42" s="39"/>
    </row>
    <row r="43" spans="1:15" s="21" customFormat="1" ht="13.5" customHeight="1">
      <c r="A43" s="51" t="s">
        <v>189</v>
      </c>
      <c r="B43" s="52"/>
      <c r="C43" s="44"/>
      <c r="D43" s="44"/>
      <c r="E43" s="53" t="s">
        <v>190</v>
      </c>
      <c r="G43" s="22"/>
      <c r="H43" s="20"/>
      <c r="L43" s="39"/>
    </row>
    <row r="44" spans="1:15" s="21" customFormat="1" ht="13.5" customHeight="1">
      <c r="A44" s="51" t="s">
        <v>191</v>
      </c>
      <c r="B44" s="52"/>
      <c r="C44" s="44"/>
      <c r="D44" s="44"/>
      <c r="E44" s="53" t="s">
        <v>192</v>
      </c>
      <c r="G44" s="22"/>
      <c r="H44" s="20"/>
      <c r="L44" s="39"/>
    </row>
    <row r="45" spans="1:15" s="21" customFormat="1" ht="13.5" customHeight="1">
      <c r="A45" s="51" t="s">
        <v>193</v>
      </c>
      <c r="B45" s="52"/>
      <c r="C45" s="44"/>
      <c r="D45" s="44"/>
      <c r="E45" s="53" t="s">
        <v>1636</v>
      </c>
      <c r="G45" s="22"/>
      <c r="H45" s="20"/>
      <c r="L45" s="39"/>
    </row>
    <row r="46" spans="1:15" s="21" customFormat="1" ht="13.5" customHeight="1">
      <c r="A46" s="51" t="s">
        <v>195</v>
      </c>
      <c r="B46" s="52"/>
      <c r="C46" s="44"/>
      <c r="D46" s="44"/>
      <c r="E46" s="53" t="s">
        <v>197</v>
      </c>
      <c r="G46" s="22"/>
      <c r="H46" s="20"/>
      <c r="L46" s="39"/>
    </row>
    <row r="47" spans="1:15" s="21" customFormat="1" ht="13.5" customHeight="1" thickBot="1">
      <c r="A47" s="54"/>
      <c r="B47" s="55"/>
      <c r="C47" s="44"/>
      <c r="D47" s="44"/>
      <c r="E47" s="56" t="s">
        <v>198</v>
      </c>
      <c r="F47" s="57"/>
      <c r="G47" s="58"/>
      <c r="H47" s="20"/>
      <c r="L47" s="39"/>
    </row>
    <row r="48" spans="1:15" s="21" customFormat="1" ht="13.5" customHeight="1">
      <c r="A48" s="722" t="s">
        <v>213</v>
      </c>
      <c r="B48" s="722"/>
      <c r="C48" s="722"/>
      <c r="D48" s="722"/>
      <c r="E48" s="722"/>
      <c r="F48" s="722"/>
      <c r="G48" s="722"/>
      <c r="H48" s="20"/>
    </row>
    <row r="49" spans="1:15" s="21" customFormat="1" ht="13.5" customHeight="1" thickBot="1">
      <c r="A49" s="23" t="str">
        <f>+A2</f>
        <v>LIFESTYLE SINGLE STOREY PRICE LIST VALID UP TO AUG 2025</v>
      </c>
      <c r="F49" s="24"/>
      <c r="G49" s="25"/>
      <c r="H49" s="20"/>
      <c r="L49" s="39"/>
    </row>
    <row r="50" spans="1:15" s="21" customFormat="1" ht="91.5" customHeight="1" thickBot="1">
      <c r="A50" s="26" t="s">
        <v>175</v>
      </c>
      <c r="B50" s="27" t="s">
        <v>176</v>
      </c>
      <c r="C50" s="28" t="s">
        <v>177</v>
      </c>
      <c r="D50" s="28" t="s">
        <v>178</v>
      </c>
      <c r="E50" s="28" t="s">
        <v>179</v>
      </c>
      <c r="F50" s="29" t="s">
        <v>180</v>
      </c>
      <c r="G50" s="28" t="s">
        <v>181</v>
      </c>
      <c r="H50" s="20"/>
      <c r="L50" s="39"/>
    </row>
    <row r="51" spans="1:15" s="21" customFormat="1" ht="15.75" customHeight="1">
      <c r="A51" s="42" t="s">
        <v>42</v>
      </c>
      <c r="B51" s="35">
        <f t="shared" ref="B51:B83" si="20">+CEILING(I51+J51+K51,10)</f>
        <v>328240</v>
      </c>
      <c r="C51" s="43">
        <f t="shared" ref="C51:C83" si="21">+L51</f>
        <v>7000</v>
      </c>
      <c r="D51" s="37">
        <f>+Shepparton!D51</f>
        <v>6705</v>
      </c>
      <c r="E51" s="37">
        <f>+Shepparton!E51</f>
        <v>3215</v>
      </c>
      <c r="F51" s="38">
        <f>SUM(B51:E51)</f>
        <v>345160</v>
      </c>
      <c r="G51" s="37">
        <f>+Shepparton!G51</f>
        <v>5440</v>
      </c>
      <c r="H51" s="20"/>
      <c r="I51" s="39">
        <f>+Lifestyle!BC51</f>
        <v>325231</v>
      </c>
      <c r="J51" s="21">
        <f>+J40</f>
        <v>0</v>
      </c>
      <c r="K51" s="21">
        <f>+Lifestyle!BD51</f>
        <v>3000</v>
      </c>
      <c r="L51" s="21">
        <f>+L40</f>
        <v>7000</v>
      </c>
      <c r="M51" s="21">
        <f>+M40</f>
        <v>103</v>
      </c>
      <c r="N51" s="21">
        <f>+N40</f>
        <v>60</v>
      </c>
      <c r="O51" s="21">
        <f>+O40</f>
        <v>65</v>
      </c>
    </row>
    <row r="52" spans="1:15" s="21" customFormat="1" ht="15.75" customHeight="1">
      <c r="A52" s="42" t="s">
        <v>43</v>
      </c>
      <c r="B52" s="35">
        <f t="shared" si="20"/>
        <v>331250</v>
      </c>
      <c r="C52" s="43">
        <f t="shared" si="21"/>
        <v>7000</v>
      </c>
      <c r="D52" s="37">
        <f>+Shepparton!D52</f>
        <v>6610</v>
      </c>
      <c r="E52" s="37">
        <f>+Shepparton!E52</f>
        <v>3570</v>
      </c>
      <c r="F52" s="38">
        <f>SUM(B52:E52)</f>
        <v>348430</v>
      </c>
      <c r="G52" s="37">
        <f>+Shepparton!G52</f>
        <v>5440</v>
      </c>
      <c r="H52" s="20"/>
      <c r="I52" s="39">
        <f>+Lifestyle!BC52</f>
        <v>328247</v>
      </c>
      <c r="J52" s="21">
        <f t="shared" ref="J52:O67" si="22">+J51</f>
        <v>0</v>
      </c>
      <c r="K52" s="21">
        <f>+Lifestyle!BD52</f>
        <v>3000</v>
      </c>
      <c r="L52" s="21">
        <f t="shared" si="22"/>
        <v>7000</v>
      </c>
      <c r="M52" s="21">
        <f t="shared" si="22"/>
        <v>103</v>
      </c>
      <c r="N52" s="21">
        <f t="shared" si="22"/>
        <v>60</v>
      </c>
      <c r="O52" s="21">
        <f t="shared" si="22"/>
        <v>65</v>
      </c>
    </row>
    <row r="53" spans="1:15" s="21" customFormat="1" ht="15.75" customHeight="1">
      <c r="A53" s="42" t="s">
        <v>44</v>
      </c>
      <c r="B53" s="35">
        <f t="shared" si="20"/>
        <v>342420</v>
      </c>
      <c r="C53" s="43">
        <f t="shared" si="21"/>
        <v>7000</v>
      </c>
      <c r="D53" s="37">
        <f>+Shepparton!D53</f>
        <v>6905</v>
      </c>
      <c r="E53" s="37">
        <f>+Shepparton!E53</f>
        <v>4650</v>
      </c>
      <c r="F53" s="38">
        <f>SUM(B53:E53)</f>
        <v>360975</v>
      </c>
      <c r="G53" s="37">
        <f>+Shepparton!G53</f>
        <v>5440</v>
      </c>
      <c r="H53" s="20"/>
      <c r="I53" s="39">
        <f>+Lifestyle!BC53</f>
        <v>339412</v>
      </c>
      <c r="J53" s="21">
        <f t="shared" si="22"/>
        <v>0</v>
      </c>
      <c r="K53" s="21">
        <f>+Lifestyle!BD53</f>
        <v>3000</v>
      </c>
      <c r="L53" s="21">
        <f t="shared" si="22"/>
        <v>7000</v>
      </c>
      <c r="M53" s="21">
        <f t="shared" si="22"/>
        <v>103</v>
      </c>
      <c r="N53" s="21">
        <f t="shared" si="22"/>
        <v>60</v>
      </c>
      <c r="O53" s="21">
        <f t="shared" si="22"/>
        <v>65</v>
      </c>
    </row>
    <row r="54" spans="1:15" s="21" customFormat="1" ht="15.75" customHeight="1">
      <c r="A54" s="42" t="s">
        <v>45</v>
      </c>
      <c r="B54" s="35">
        <f t="shared" si="20"/>
        <v>346420</v>
      </c>
      <c r="C54" s="43">
        <f t="shared" si="21"/>
        <v>7000</v>
      </c>
      <c r="D54" s="37">
        <f>+Shepparton!D54</f>
        <v>6835</v>
      </c>
      <c r="E54" s="37">
        <f>+Shepparton!E54</f>
        <v>5030</v>
      </c>
      <c r="F54" s="38">
        <f>SUM(B54:E54)</f>
        <v>365285</v>
      </c>
      <c r="G54" s="37">
        <f>+Shepparton!G54</f>
        <v>5440</v>
      </c>
      <c r="H54" s="20"/>
      <c r="I54" s="39">
        <f>+Lifestyle!BC54</f>
        <v>342418</v>
      </c>
      <c r="J54" s="21">
        <f t="shared" si="22"/>
        <v>0</v>
      </c>
      <c r="K54" s="21">
        <f>+Lifestyle!BD54</f>
        <v>4000</v>
      </c>
      <c r="L54" s="21">
        <f t="shared" si="22"/>
        <v>7000</v>
      </c>
      <c r="M54" s="21">
        <f t="shared" si="22"/>
        <v>103</v>
      </c>
      <c r="N54" s="21">
        <f t="shared" si="22"/>
        <v>60</v>
      </c>
      <c r="O54" s="21">
        <f t="shared" si="22"/>
        <v>65</v>
      </c>
    </row>
    <row r="55" spans="1:15" s="21" customFormat="1" ht="15.75" customHeight="1">
      <c r="A55" s="42" t="s">
        <v>46</v>
      </c>
      <c r="B55" s="35">
        <f t="shared" si="20"/>
        <v>389930</v>
      </c>
      <c r="C55" s="43">
        <f t="shared" si="21"/>
        <v>7000</v>
      </c>
      <c r="D55" s="37">
        <f>+Shepparton!D55</f>
        <v>9030</v>
      </c>
      <c r="E55" s="37">
        <f>+Shepparton!E55</f>
        <v>5385</v>
      </c>
      <c r="F55" s="38">
        <f>SUM(B55:E55)</f>
        <v>411345</v>
      </c>
      <c r="G55" s="37">
        <f>+Shepparton!G55</f>
        <v>5440</v>
      </c>
      <c r="H55" s="20"/>
      <c r="I55" s="39">
        <f>+Lifestyle!BC55</f>
        <v>385922</v>
      </c>
      <c r="J55" s="21">
        <f t="shared" si="22"/>
        <v>0</v>
      </c>
      <c r="K55" s="21">
        <f>+Lifestyle!BD55</f>
        <v>4000</v>
      </c>
      <c r="L55" s="21">
        <f t="shared" si="22"/>
        <v>7000</v>
      </c>
      <c r="M55" s="21">
        <f t="shared" si="22"/>
        <v>103</v>
      </c>
      <c r="N55" s="21">
        <f t="shared" si="22"/>
        <v>60</v>
      </c>
      <c r="O55" s="21">
        <f t="shared" si="22"/>
        <v>65</v>
      </c>
    </row>
    <row r="56" spans="1:15" s="21" customFormat="1" ht="15.75" customHeight="1">
      <c r="A56" s="34" t="s">
        <v>47</v>
      </c>
      <c r="B56" s="35">
        <f t="shared" si="20"/>
        <v>340650</v>
      </c>
      <c r="C56" s="36">
        <f t="shared" si="21"/>
        <v>7000</v>
      </c>
      <c r="D56" s="37">
        <f>+Shepparton!D56</f>
        <v>6225</v>
      </c>
      <c r="E56" s="37">
        <f>+Shepparton!E56</f>
        <v>4555</v>
      </c>
      <c r="F56" s="38">
        <f t="shared" ref="F56:F83" si="23">SUM(B56:E56)</f>
        <v>358430</v>
      </c>
      <c r="G56" s="37">
        <f>+Shepparton!G56</f>
        <v>4675</v>
      </c>
      <c r="H56" s="20"/>
      <c r="I56" s="39">
        <f>+Lifestyle!BC56</f>
        <v>336641</v>
      </c>
      <c r="J56" s="21">
        <f t="shared" si="22"/>
        <v>0</v>
      </c>
      <c r="K56" s="21">
        <f>+Lifestyle!BD56</f>
        <v>4000</v>
      </c>
      <c r="L56" s="21">
        <f t="shared" si="22"/>
        <v>7000</v>
      </c>
      <c r="M56" s="21">
        <f t="shared" si="22"/>
        <v>103</v>
      </c>
      <c r="N56" s="21">
        <f t="shared" si="22"/>
        <v>60</v>
      </c>
      <c r="O56" s="21">
        <f t="shared" si="22"/>
        <v>65</v>
      </c>
    </row>
    <row r="57" spans="1:15" s="21" customFormat="1" ht="15.75" customHeight="1">
      <c r="A57" s="42" t="s">
        <v>48</v>
      </c>
      <c r="B57" s="35">
        <f t="shared" si="20"/>
        <v>369120</v>
      </c>
      <c r="C57" s="43">
        <f t="shared" si="21"/>
        <v>7000</v>
      </c>
      <c r="D57" s="37">
        <f>+Shepparton!D57</f>
        <v>6815</v>
      </c>
      <c r="E57" s="37">
        <f>+Shepparton!E57</f>
        <v>5595</v>
      </c>
      <c r="F57" s="38">
        <f t="shared" si="23"/>
        <v>388530</v>
      </c>
      <c r="G57" s="37">
        <f>+Shepparton!G57</f>
        <v>5440</v>
      </c>
      <c r="H57" s="20"/>
      <c r="I57" s="39">
        <f>+Lifestyle!BC57</f>
        <v>365119</v>
      </c>
      <c r="J57" s="21">
        <f>+J56</f>
        <v>0</v>
      </c>
      <c r="K57" s="21">
        <f>+Lifestyle!BD57</f>
        <v>4000</v>
      </c>
      <c r="L57" s="21">
        <f t="shared" si="22"/>
        <v>7000</v>
      </c>
      <c r="M57" s="21">
        <f t="shared" si="22"/>
        <v>103</v>
      </c>
      <c r="N57" s="21">
        <f t="shared" si="22"/>
        <v>60</v>
      </c>
      <c r="O57" s="21">
        <f t="shared" si="22"/>
        <v>65</v>
      </c>
    </row>
    <row r="58" spans="1:15" s="21" customFormat="1" ht="15.75" customHeight="1">
      <c r="A58" s="42" t="s">
        <v>49</v>
      </c>
      <c r="B58" s="35">
        <f t="shared" si="20"/>
        <v>384830</v>
      </c>
      <c r="C58" s="43">
        <f t="shared" si="21"/>
        <v>7000</v>
      </c>
      <c r="D58" s="37">
        <f>+Shepparton!D58</f>
        <v>7105</v>
      </c>
      <c r="E58" s="37">
        <f>+Shepparton!E58</f>
        <v>6350</v>
      </c>
      <c r="F58" s="38">
        <f t="shared" si="23"/>
        <v>405285</v>
      </c>
      <c r="G58" s="37">
        <f>+Shepparton!G58</f>
        <v>5950</v>
      </c>
      <c r="H58" s="20"/>
      <c r="I58" s="39">
        <f>+Lifestyle!BC58</f>
        <v>380824</v>
      </c>
      <c r="J58" s="21">
        <f t="shared" ref="J58:O73" si="24">+J57</f>
        <v>0</v>
      </c>
      <c r="K58" s="21">
        <f>+Lifestyle!BD58</f>
        <v>4000</v>
      </c>
      <c r="L58" s="21">
        <f t="shared" si="22"/>
        <v>7000</v>
      </c>
      <c r="M58" s="21">
        <f t="shared" si="22"/>
        <v>103</v>
      </c>
      <c r="N58" s="21">
        <f t="shared" si="22"/>
        <v>60</v>
      </c>
      <c r="O58" s="21">
        <f t="shared" si="22"/>
        <v>65</v>
      </c>
    </row>
    <row r="59" spans="1:15" s="21" customFormat="1" ht="15.75" customHeight="1">
      <c r="A59" s="42" t="s">
        <v>50</v>
      </c>
      <c r="B59" s="35">
        <f t="shared" si="20"/>
        <v>337630</v>
      </c>
      <c r="C59" s="43">
        <f t="shared" si="21"/>
        <v>7000</v>
      </c>
      <c r="D59" s="37">
        <f>+Shepparton!D59</f>
        <v>8450</v>
      </c>
      <c r="E59" s="37">
        <f>+Shepparton!E59</f>
        <v>3460</v>
      </c>
      <c r="F59" s="38">
        <f t="shared" si="23"/>
        <v>356540</v>
      </c>
      <c r="G59" s="37">
        <f>+Shepparton!G59</f>
        <v>4845</v>
      </c>
      <c r="H59" s="20"/>
      <c r="I59" s="39">
        <f>+Lifestyle!BC59</f>
        <v>334625</v>
      </c>
      <c r="J59" s="21">
        <f t="shared" si="24"/>
        <v>0</v>
      </c>
      <c r="K59" s="21">
        <f>+Lifestyle!BD59</f>
        <v>3000</v>
      </c>
      <c r="L59" s="21">
        <f t="shared" si="22"/>
        <v>7000</v>
      </c>
      <c r="M59" s="21">
        <f t="shared" si="22"/>
        <v>103</v>
      </c>
      <c r="N59" s="21">
        <f t="shared" si="22"/>
        <v>60</v>
      </c>
      <c r="O59" s="21">
        <f t="shared" si="22"/>
        <v>65</v>
      </c>
    </row>
    <row r="60" spans="1:15" s="21" customFormat="1" ht="15.75" customHeight="1">
      <c r="A60" s="42" t="s">
        <v>51</v>
      </c>
      <c r="B60" s="35">
        <f t="shared" si="20"/>
        <v>379450</v>
      </c>
      <c r="C60" s="43">
        <f t="shared" si="21"/>
        <v>7000</v>
      </c>
      <c r="D60" s="37">
        <f>+Shepparton!D60</f>
        <v>9065</v>
      </c>
      <c r="E60" s="37">
        <f>+Shepparton!E60</f>
        <v>5080</v>
      </c>
      <c r="F60" s="38">
        <f t="shared" si="23"/>
        <v>400595</v>
      </c>
      <c r="G60" s="37">
        <f>+Shepparton!G60</f>
        <v>5270</v>
      </c>
      <c r="H60" s="20"/>
      <c r="I60" s="39">
        <f>+Lifestyle!BC60</f>
        <v>375448</v>
      </c>
      <c r="J60" s="21">
        <f t="shared" si="24"/>
        <v>0</v>
      </c>
      <c r="K60" s="21">
        <f>+Lifestyle!BD60</f>
        <v>4000</v>
      </c>
      <c r="L60" s="21">
        <f t="shared" si="22"/>
        <v>7000</v>
      </c>
      <c r="M60" s="21">
        <f t="shared" si="22"/>
        <v>103</v>
      </c>
      <c r="N60" s="21">
        <f t="shared" si="22"/>
        <v>60</v>
      </c>
      <c r="O60" s="21">
        <f t="shared" si="22"/>
        <v>65</v>
      </c>
    </row>
    <row r="61" spans="1:15" s="21" customFormat="1" ht="15.75" customHeight="1">
      <c r="A61" s="42" t="s">
        <v>52</v>
      </c>
      <c r="B61" s="35">
        <f t="shared" si="20"/>
        <v>411050</v>
      </c>
      <c r="C61" s="43">
        <f t="shared" si="21"/>
        <v>7000</v>
      </c>
      <c r="D61" s="37">
        <f>+Shepparton!D61</f>
        <v>9455</v>
      </c>
      <c r="E61" s="37">
        <f>+Shepparton!E61</f>
        <v>6610</v>
      </c>
      <c r="F61" s="38">
        <f t="shared" si="23"/>
        <v>434115</v>
      </c>
      <c r="G61" s="37">
        <f>+Shepparton!G61</f>
        <v>6375</v>
      </c>
      <c r="H61" s="20"/>
      <c r="I61" s="39">
        <f>+Lifestyle!BC61</f>
        <v>407049</v>
      </c>
      <c r="J61" s="21">
        <f t="shared" si="24"/>
        <v>0</v>
      </c>
      <c r="K61" s="21">
        <f>+Lifestyle!BD61</f>
        <v>4000</v>
      </c>
      <c r="L61" s="21">
        <f t="shared" si="22"/>
        <v>7000</v>
      </c>
      <c r="M61" s="21">
        <f t="shared" si="22"/>
        <v>103</v>
      </c>
      <c r="N61" s="21">
        <f t="shared" si="22"/>
        <v>60</v>
      </c>
      <c r="O61" s="21">
        <f t="shared" si="22"/>
        <v>65</v>
      </c>
    </row>
    <row r="62" spans="1:15" s="21" customFormat="1" ht="15.75" customHeight="1">
      <c r="A62" s="42" t="s">
        <v>53</v>
      </c>
      <c r="B62" s="35">
        <f t="shared" si="20"/>
        <v>317210</v>
      </c>
      <c r="C62" s="43">
        <f t="shared" si="21"/>
        <v>7000</v>
      </c>
      <c r="D62" s="37">
        <f>+Shepparton!D62</f>
        <v>6515</v>
      </c>
      <c r="E62" s="37">
        <f>+Shepparton!E62</f>
        <v>3700</v>
      </c>
      <c r="F62" s="38">
        <f t="shared" si="23"/>
        <v>334425</v>
      </c>
      <c r="G62" s="37">
        <f>+Shepparton!G62</f>
        <v>4930</v>
      </c>
      <c r="H62" s="20"/>
      <c r="I62" s="39">
        <f>+Lifestyle!BC62</f>
        <v>314204</v>
      </c>
      <c r="J62" s="21">
        <f t="shared" si="24"/>
        <v>0</v>
      </c>
      <c r="K62" s="21">
        <f>+Lifestyle!BD62</f>
        <v>3000</v>
      </c>
      <c r="L62" s="21">
        <f t="shared" si="22"/>
        <v>7000</v>
      </c>
      <c r="M62" s="21">
        <f t="shared" si="22"/>
        <v>103</v>
      </c>
      <c r="N62" s="21">
        <f t="shared" si="22"/>
        <v>60</v>
      </c>
      <c r="O62" s="21">
        <f t="shared" si="22"/>
        <v>65</v>
      </c>
    </row>
    <row r="63" spans="1:15" s="21" customFormat="1" ht="15.75" customHeight="1">
      <c r="A63" s="42" t="s">
        <v>54</v>
      </c>
      <c r="B63" s="35">
        <f t="shared" si="20"/>
        <v>328070</v>
      </c>
      <c r="C63" s="43">
        <f t="shared" si="21"/>
        <v>7000</v>
      </c>
      <c r="D63" s="37">
        <f>+Shepparton!D63</f>
        <v>6460</v>
      </c>
      <c r="E63" s="37">
        <f>+Shepparton!E63</f>
        <v>3770</v>
      </c>
      <c r="F63" s="38">
        <f t="shared" si="23"/>
        <v>345300</v>
      </c>
      <c r="G63" s="37">
        <f>+Shepparton!G63</f>
        <v>5100</v>
      </c>
      <c r="H63" s="20"/>
      <c r="I63" s="39">
        <f>+Lifestyle!BC63</f>
        <v>325064</v>
      </c>
      <c r="J63" s="21">
        <f t="shared" si="24"/>
        <v>0</v>
      </c>
      <c r="K63" s="21">
        <f>+Lifestyle!BD63</f>
        <v>3000</v>
      </c>
      <c r="L63" s="21">
        <f t="shared" si="22"/>
        <v>7000</v>
      </c>
      <c r="M63" s="21">
        <f t="shared" si="22"/>
        <v>103</v>
      </c>
      <c r="N63" s="21">
        <f t="shared" si="22"/>
        <v>60</v>
      </c>
      <c r="O63" s="21">
        <f t="shared" si="22"/>
        <v>65</v>
      </c>
    </row>
    <row r="64" spans="1:15" s="21" customFormat="1" ht="15.75" customHeight="1">
      <c r="A64" s="42" t="s">
        <v>55</v>
      </c>
      <c r="B64" s="35">
        <f t="shared" si="20"/>
        <v>345030</v>
      </c>
      <c r="C64" s="43">
        <f t="shared" si="21"/>
        <v>7000</v>
      </c>
      <c r="D64" s="37">
        <f>+Shepparton!D64</f>
        <v>7805</v>
      </c>
      <c r="E64" s="37">
        <f>+Shepparton!E64</f>
        <v>4160</v>
      </c>
      <c r="F64" s="38">
        <f t="shared" si="23"/>
        <v>363995</v>
      </c>
      <c r="G64" s="37">
        <f>+Shepparton!G64</f>
        <v>5610</v>
      </c>
      <c r="H64" s="20"/>
      <c r="I64" s="39">
        <f>+Lifestyle!BC64</f>
        <v>342022</v>
      </c>
      <c r="J64" s="21">
        <f t="shared" si="24"/>
        <v>0</v>
      </c>
      <c r="K64" s="21">
        <f>+Lifestyle!BD64</f>
        <v>3000</v>
      </c>
      <c r="L64" s="21">
        <f t="shared" si="22"/>
        <v>7000</v>
      </c>
      <c r="M64" s="21">
        <f t="shared" si="22"/>
        <v>103</v>
      </c>
      <c r="N64" s="21">
        <f t="shared" si="22"/>
        <v>60</v>
      </c>
      <c r="O64" s="21">
        <f t="shared" si="22"/>
        <v>65</v>
      </c>
    </row>
    <row r="65" spans="1:15" s="21" customFormat="1" ht="15.75" customHeight="1">
      <c r="A65" s="42" t="s">
        <v>56</v>
      </c>
      <c r="B65" s="35">
        <f t="shared" si="20"/>
        <v>306470</v>
      </c>
      <c r="C65" s="43">
        <f t="shared" si="21"/>
        <v>7000</v>
      </c>
      <c r="D65" s="37">
        <f>+Shepparton!D65</f>
        <v>7230</v>
      </c>
      <c r="E65" s="37">
        <f>+Shepparton!E65</f>
        <v>2495</v>
      </c>
      <c r="F65" s="38">
        <f t="shared" si="23"/>
        <v>323195</v>
      </c>
      <c r="G65" s="37">
        <f>+Shepparton!G65</f>
        <v>4590</v>
      </c>
      <c r="H65" s="20"/>
      <c r="I65" s="39">
        <f>+Lifestyle!BC65</f>
        <v>303468</v>
      </c>
      <c r="J65" s="21">
        <f t="shared" si="24"/>
        <v>0</v>
      </c>
      <c r="K65" s="21">
        <f>+Lifestyle!BD65</f>
        <v>3000</v>
      </c>
      <c r="L65" s="21">
        <f t="shared" si="22"/>
        <v>7000</v>
      </c>
      <c r="M65" s="21">
        <f t="shared" si="22"/>
        <v>103</v>
      </c>
      <c r="N65" s="21">
        <f t="shared" si="22"/>
        <v>60</v>
      </c>
      <c r="O65" s="21">
        <f t="shared" si="22"/>
        <v>65</v>
      </c>
    </row>
    <row r="66" spans="1:15" s="21" customFormat="1" ht="15.75" customHeight="1">
      <c r="A66" s="42" t="s">
        <v>57</v>
      </c>
      <c r="B66" s="35">
        <f t="shared" si="20"/>
        <v>326490</v>
      </c>
      <c r="C66" s="43">
        <f t="shared" si="21"/>
        <v>7000</v>
      </c>
      <c r="D66" s="37">
        <f>+Shepparton!D66</f>
        <v>9190</v>
      </c>
      <c r="E66" s="37">
        <f>+Shepparton!E66</f>
        <v>2505</v>
      </c>
      <c r="F66" s="38">
        <f t="shared" si="23"/>
        <v>345185</v>
      </c>
      <c r="G66" s="37">
        <f>+Shepparton!G66</f>
        <v>4930</v>
      </c>
      <c r="H66" s="20"/>
      <c r="I66" s="39">
        <f>+Lifestyle!BC66</f>
        <v>323490</v>
      </c>
      <c r="J66" s="21">
        <f t="shared" si="24"/>
        <v>0</v>
      </c>
      <c r="K66" s="21">
        <f>+Lifestyle!BD66</f>
        <v>3000</v>
      </c>
      <c r="L66" s="21">
        <f t="shared" si="22"/>
        <v>7000</v>
      </c>
      <c r="M66" s="21">
        <f t="shared" si="22"/>
        <v>103</v>
      </c>
      <c r="N66" s="21">
        <f t="shared" si="22"/>
        <v>60</v>
      </c>
      <c r="O66" s="21">
        <f t="shared" si="22"/>
        <v>65</v>
      </c>
    </row>
    <row r="67" spans="1:15" s="21" customFormat="1" ht="15.75" customHeight="1">
      <c r="A67" s="42" t="s">
        <v>58</v>
      </c>
      <c r="B67" s="35">
        <f t="shared" si="20"/>
        <v>339540</v>
      </c>
      <c r="C67" s="43">
        <f t="shared" si="21"/>
        <v>7000</v>
      </c>
      <c r="D67" s="37">
        <f>+Shepparton!D67</f>
        <v>8965</v>
      </c>
      <c r="E67" s="37">
        <f>+Shepparton!E67</f>
        <v>3200</v>
      </c>
      <c r="F67" s="38">
        <f t="shared" si="23"/>
        <v>358705</v>
      </c>
      <c r="G67" s="37">
        <f>+Shepparton!G67</f>
        <v>5270</v>
      </c>
      <c r="H67" s="20"/>
      <c r="I67" s="39">
        <f>+Lifestyle!BC67</f>
        <v>336534</v>
      </c>
      <c r="J67" s="21">
        <f t="shared" si="24"/>
        <v>0</v>
      </c>
      <c r="K67" s="21">
        <f>+Lifestyle!BD67</f>
        <v>3000</v>
      </c>
      <c r="L67" s="21">
        <f t="shared" si="22"/>
        <v>7000</v>
      </c>
      <c r="M67" s="21">
        <f t="shared" si="22"/>
        <v>103</v>
      </c>
      <c r="N67" s="21">
        <f t="shared" si="22"/>
        <v>60</v>
      </c>
      <c r="O67" s="21">
        <f t="shared" si="22"/>
        <v>65</v>
      </c>
    </row>
    <row r="68" spans="1:15" s="21" customFormat="1" ht="15.75" customHeight="1">
      <c r="A68" s="42" t="s">
        <v>59</v>
      </c>
      <c r="B68" s="35">
        <f t="shared" si="20"/>
        <v>349560</v>
      </c>
      <c r="C68" s="43">
        <f t="shared" si="21"/>
        <v>7000</v>
      </c>
      <c r="D68" s="37">
        <f>+Shepparton!D68</f>
        <v>8900</v>
      </c>
      <c r="E68" s="37">
        <f>+Shepparton!E68</f>
        <v>3995</v>
      </c>
      <c r="F68" s="38">
        <f t="shared" si="23"/>
        <v>369455</v>
      </c>
      <c r="G68" s="37">
        <f>+Shepparton!G68</f>
        <v>5355</v>
      </c>
      <c r="H68" s="20"/>
      <c r="I68" s="39">
        <f>+Lifestyle!BC68</f>
        <v>345559</v>
      </c>
      <c r="J68" s="21">
        <f t="shared" si="24"/>
        <v>0</v>
      </c>
      <c r="K68" s="21">
        <f>+Lifestyle!BD68</f>
        <v>4000</v>
      </c>
      <c r="L68" s="21">
        <f t="shared" si="24"/>
        <v>7000</v>
      </c>
      <c r="M68" s="21">
        <f t="shared" si="24"/>
        <v>103</v>
      </c>
      <c r="N68" s="21">
        <f t="shared" si="24"/>
        <v>60</v>
      </c>
      <c r="O68" s="21">
        <f t="shared" si="24"/>
        <v>65</v>
      </c>
    </row>
    <row r="69" spans="1:15" s="21" customFormat="1" ht="15.75" customHeight="1">
      <c r="A69" s="42" t="s">
        <v>60</v>
      </c>
      <c r="B69" s="35">
        <f t="shared" si="20"/>
        <v>381560</v>
      </c>
      <c r="C69" s="43">
        <f t="shared" si="21"/>
        <v>7000</v>
      </c>
      <c r="D69" s="37">
        <f>+Shepparton!D69</f>
        <v>10705</v>
      </c>
      <c r="E69" s="37">
        <f>+Shepparton!E69</f>
        <v>4775</v>
      </c>
      <c r="F69" s="38">
        <f t="shared" si="23"/>
        <v>404040</v>
      </c>
      <c r="G69" s="37">
        <f>+Shepparton!G69</f>
        <v>5610</v>
      </c>
      <c r="H69" s="20"/>
      <c r="I69" s="39">
        <f>+Lifestyle!BC69</f>
        <v>377557</v>
      </c>
      <c r="J69" s="21">
        <f t="shared" si="24"/>
        <v>0</v>
      </c>
      <c r="K69" s="21">
        <f>+Lifestyle!BD69</f>
        <v>4000</v>
      </c>
      <c r="L69" s="21">
        <f t="shared" si="24"/>
        <v>7000</v>
      </c>
      <c r="M69" s="21">
        <f t="shared" si="24"/>
        <v>103</v>
      </c>
      <c r="N69" s="21">
        <f t="shared" si="24"/>
        <v>60</v>
      </c>
      <c r="O69" s="21">
        <f t="shared" si="24"/>
        <v>65</v>
      </c>
    </row>
    <row r="70" spans="1:15" s="21" customFormat="1" ht="15.75" customHeight="1">
      <c r="A70" s="42" t="s">
        <v>61</v>
      </c>
      <c r="B70" s="35">
        <f t="shared" si="20"/>
        <v>426420</v>
      </c>
      <c r="C70" s="43">
        <f t="shared" si="21"/>
        <v>7000</v>
      </c>
      <c r="D70" s="37">
        <f>+Shepparton!D70</f>
        <v>14600</v>
      </c>
      <c r="E70" s="37">
        <f>+Shepparton!E70</f>
        <v>5595</v>
      </c>
      <c r="F70" s="38">
        <f t="shared" si="23"/>
        <v>453615</v>
      </c>
      <c r="G70" s="37">
        <f>+Shepparton!G70</f>
        <v>5865</v>
      </c>
      <c r="H70" s="20"/>
      <c r="I70" s="39">
        <f>+Lifestyle!BC70</f>
        <v>422416</v>
      </c>
      <c r="J70" s="21">
        <f t="shared" si="24"/>
        <v>0</v>
      </c>
      <c r="K70" s="21">
        <f>+Lifestyle!BD70</f>
        <v>4000</v>
      </c>
      <c r="L70" s="21">
        <f t="shared" si="24"/>
        <v>7000</v>
      </c>
      <c r="M70" s="21">
        <f t="shared" si="24"/>
        <v>103</v>
      </c>
      <c r="N70" s="21">
        <f t="shared" si="24"/>
        <v>60</v>
      </c>
      <c r="O70" s="21">
        <f t="shared" si="24"/>
        <v>65</v>
      </c>
    </row>
    <row r="71" spans="1:15" s="21" customFormat="1" ht="15.75" customHeight="1">
      <c r="A71" s="42" t="s">
        <v>62</v>
      </c>
      <c r="B71" s="35">
        <f t="shared" si="20"/>
        <v>335420</v>
      </c>
      <c r="C71" s="43">
        <f t="shared" si="21"/>
        <v>7000</v>
      </c>
      <c r="D71" s="37">
        <f>+Shepparton!D71</f>
        <v>8190</v>
      </c>
      <c r="E71" s="37">
        <f>+Shepparton!E71</f>
        <v>3825</v>
      </c>
      <c r="F71" s="38">
        <f t="shared" si="23"/>
        <v>354435</v>
      </c>
      <c r="G71" s="37">
        <f>+Shepparton!G71</f>
        <v>4335</v>
      </c>
      <c r="H71" s="20"/>
      <c r="I71" s="39">
        <f>+Lifestyle!BC71</f>
        <v>332420</v>
      </c>
      <c r="J71" s="21">
        <f t="shared" si="24"/>
        <v>0</v>
      </c>
      <c r="K71" s="21">
        <f>+Lifestyle!BD71</f>
        <v>3000</v>
      </c>
      <c r="L71" s="21">
        <f t="shared" si="24"/>
        <v>7000</v>
      </c>
      <c r="M71" s="21">
        <f t="shared" si="24"/>
        <v>103</v>
      </c>
      <c r="N71" s="21">
        <f t="shared" si="24"/>
        <v>60</v>
      </c>
      <c r="O71" s="21">
        <f t="shared" si="24"/>
        <v>65</v>
      </c>
    </row>
    <row r="72" spans="1:15" s="21" customFormat="1" ht="15.75" customHeight="1">
      <c r="A72" s="42" t="s">
        <v>63</v>
      </c>
      <c r="B72" s="35">
        <f t="shared" si="20"/>
        <v>383540</v>
      </c>
      <c r="C72" s="43">
        <f t="shared" si="21"/>
        <v>7000</v>
      </c>
      <c r="D72" s="37">
        <f>+Shepparton!D72</f>
        <v>9250</v>
      </c>
      <c r="E72" s="37">
        <f>+Shepparton!E72</f>
        <v>4660</v>
      </c>
      <c r="F72" s="38">
        <f t="shared" si="23"/>
        <v>404450</v>
      </c>
      <c r="G72" s="37">
        <f>+Shepparton!G72</f>
        <v>4930</v>
      </c>
      <c r="H72" s="20"/>
      <c r="I72" s="39">
        <f>+Lifestyle!BC72</f>
        <v>379533</v>
      </c>
      <c r="J72" s="21">
        <f t="shared" si="24"/>
        <v>0</v>
      </c>
      <c r="K72" s="21">
        <f>+Lifestyle!BD72</f>
        <v>4000</v>
      </c>
      <c r="L72" s="21">
        <f t="shared" si="24"/>
        <v>7000</v>
      </c>
      <c r="M72" s="21">
        <f t="shared" si="24"/>
        <v>103</v>
      </c>
      <c r="N72" s="21">
        <f t="shared" si="24"/>
        <v>60</v>
      </c>
      <c r="O72" s="21">
        <f t="shared" si="24"/>
        <v>65</v>
      </c>
    </row>
    <row r="73" spans="1:15" s="21" customFormat="1" ht="15.75" customHeight="1">
      <c r="A73" s="42" t="s">
        <v>64</v>
      </c>
      <c r="B73" s="35">
        <f t="shared" si="20"/>
        <v>415570</v>
      </c>
      <c r="C73" s="43">
        <f t="shared" si="21"/>
        <v>7000</v>
      </c>
      <c r="D73" s="37">
        <f>+Shepparton!D73</f>
        <v>9090</v>
      </c>
      <c r="E73" s="37">
        <f>+Shepparton!E73</f>
        <v>6920</v>
      </c>
      <c r="F73" s="38">
        <f t="shared" si="23"/>
        <v>438580</v>
      </c>
      <c r="G73" s="37">
        <f>+Shepparton!G73</f>
        <v>5780</v>
      </c>
      <c r="H73" s="20"/>
      <c r="I73" s="39">
        <f>+Lifestyle!BC73</f>
        <v>411568</v>
      </c>
      <c r="J73" s="21">
        <f t="shared" si="24"/>
        <v>0</v>
      </c>
      <c r="K73" s="21">
        <f>+Lifestyle!BD73</f>
        <v>4000</v>
      </c>
      <c r="L73" s="21">
        <f t="shared" si="24"/>
        <v>7000</v>
      </c>
      <c r="M73" s="21">
        <f t="shared" si="24"/>
        <v>103</v>
      </c>
      <c r="N73" s="21">
        <f t="shared" si="24"/>
        <v>60</v>
      </c>
      <c r="O73" s="21">
        <f t="shared" si="24"/>
        <v>65</v>
      </c>
    </row>
    <row r="74" spans="1:15" s="21" customFormat="1" ht="15.75" customHeight="1">
      <c r="A74" s="42" t="s">
        <v>65</v>
      </c>
      <c r="B74" s="35">
        <f t="shared" si="20"/>
        <v>334110</v>
      </c>
      <c r="C74" s="43">
        <f t="shared" si="21"/>
        <v>7000</v>
      </c>
      <c r="D74" s="37">
        <f>+Shepparton!D74</f>
        <v>7430</v>
      </c>
      <c r="E74" s="37">
        <f>+Shepparton!E74</f>
        <v>4075</v>
      </c>
      <c r="F74" s="38">
        <f t="shared" si="23"/>
        <v>352615</v>
      </c>
      <c r="G74" s="37">
        <f>+Shepparton!G74</f>
        <v>5355</v>
      </c>
      <c r="H74" s="20"/>
      <c r="I74" s="39">
        <f>+Lifestyle!BC74</f>
        <v>331102</v>
      </c>
      <c r="J74" s="21">
        <f t="shared" ref="J74:O82" si="25">+J73</f>
        <v>0</v>
      </c>
      <c r="K74" s="21">
        <f>+Lifestyle!BD74</f>
        <v>3000</v>
      </c>
      <c r="L74" s="21">
        <f t="shared" si="25"/>
        <v>7000</v>
      </c>
      <c r="M74" s="21">
        <f t="shared" si="25"/>
        <v>103</v>
      </c>
      <c r="N74" s="21">
        <f t="shared" si="25"/>
        <v>60</v>
      </c>
      <c r="O74" s="21">
        <f t="shared" si="25"/>
        <v>65</v>
      </c>
    </row>
    <row r="75" spans="1:15" s="21" customFormat="1" ht="15.75" customHeight="1">
      <c r="A75" s="42" t="s">
        <v>66</v>
      </c>
      <c r="B75" s="35">
        <f t="shared" si="20"/>
        <v>338080</v>
      </c>
      <c r="C75" s="43">
        <f t="shared" si="21"/>
        <v>7000</v>
      </c>
      <c r="D75" s="37">
        <f>+Shepparton!D75</f>
        <v>7340</v>
      </c>
      <c r="E75" s="37">
        <f>+Shepparton!E75</f>
        <v>4825</v>
      </c>
      <c r="F75" s="38">
        <f t="shared" si="23"/>
        <v>357245</v>
      </c>
      <c r="G75" s="37">
        <f>+Shepparton!G75</f>
        <v>5355</v>
      </c>
      <c r="H75" s="20"/>
      <c r="I75" s="39">
        <f>+Lifestyle!BC75</f>
        <v>335075</v>
      </c>
      <c r="J75" s="21">
        <f t="shared" si="25"/>
        <v>0</v>
      </c>
      <c r="K75" s="21">
        <f>+Lifestyle!BD75</f>
        <v>3000</v>
      </c>
      <c r="L75" s="21">
        <f t="shared" si="25"/>
        <v>7000</v>
      </c>
      <c r="M75" s="21">
        <f t="shared" si="25"/>
        <v>103</v>
      </c>
      <c r="N75" s="21">
        <f t="shared" si="25"/>
        <v>60</v>
      </c>
      <c r="O75" s="21">
        <f t="shared" si="25"/>
        <v>65</v>
      </c>
    </row>
    <row r="76" spans="1:15" s="21" customFormat="1" ht="15.75" customHeight="1">
      <c r="A76" s="42" t="s">
        <v>67</v>
      </c>
      <c r="B76" s="35">
        <f t="shared" si="20"/>
        <v>357510</v>
      </c>
      <c r="C76" s="43">
        <f t="shared" si="21"/>
        <v>7000</v>
      </c>
      <c r="D76" s="37">
        <f>+Shepparton!D76</f>
        <v>8445</v>
      </c>
      <c r="E76" s="37">
        <f>+Shepparton!E76</f>
        <v>4355</v>
      </c>
      <c r="F76" s="38">
        <f t="shared" si="23"/>
        <v>377310</v>
      </c>
      <c r="G76" s="37">
        <f>+Shepparton!G76</f>
        <v>5270</v>
      </c>
      <c r="H76" s="20"/>
      <c r="I76" s="39">
        <f>+Lifestyle!BC76</f>
        <v>353502</v>
      </c>
      <c r="J76" s="21">
        <f t="shared" si="25"/>
        <v>0</v>
      </c>
      <c r="K76" s="21">
        <f>+Lifestyle!BD76</f>
        <v>4000</v>
      </c>
      <c r="L76" s="21">
        <f t="shared" si="25"/>
        <v>7000</v>
      </c>
      <c r="M76" s="21">
        <f t="shared" si="25"/>
        <v>103</v>
      </c>
      <c r="N76" s="21">
        <f t="shared" si="25"/>
        <v>60</v>
      </c>
      <c r="O76" s="21">
        <f t="shared" si="25"/>
        <v>65</v>
      </c>
    </row>
    <row r="77" spans="1:15" s="21" customFormat="1" ht="15.75" customHeight="1">
      <c r="A77" s="42" t="s">
        <v>68</v>
      </c>
      <c r="B77" s="35">
        <f t="shared" si="20"/>
        <v>370310</v>
      </c>
      <c r="C77" s="43">
        <f t="shared" si="21"/>
        <v>7000</v>
      </c>
      <c r="D77" s="37">
        <f>+Shepparton!D77</f>
        <v>8920</v>
      </c>
      <c r="E77" s="37">
        <f>+Shepparton!E77</f>
        <v>5110</v>
      </c>
      <c r="F77" s="38">
        <f t="shared" si="23"/>
        <v>391340</v>
      </c>
      <c r="G77" s="37">
        <f>+Shepparton!G77</f>
        <v>5355</v>
      </c>
      <c r="H77" s="20"/>
      <c r="I77" s="39">
        <f>+Lifestyle!BC77</f>
        <v>366301</v>
      </c>
      <c r="J77" s="21">
        <f t="shared" si="25"/>
        <v>0</v>
      </c>
      <c r="K77" s="21">
        <f>+Lifestyle!BD77</f>
        <v>4000</v>
      </c>
      <c r="L77" s="21">
        <f t="shared" si="25"/>
        <v>7000</v>
      </c>
      <c r="M77" s="21">
        <f t="shared" si="25"/>
        <v>103</v>
      </c>
      <c r="N77" s="21">
        <f t="shared" si="25"/>
        <v>60</v>
      </c>
      <c r="O77" s="21">
        <f t="shared" si="25"/>
        <v>65</v>
      </c>
    </row>
    <row r="78" spans="1:15" s="21" customFormat="1" ht="15.75" customHeight="1">
      <c r="A78" s="42" t="s">
        <v>69</v>
      </c>
      <c r="B78" s="35">
        <f t="shared" si="20"/>
        <v>382900</v>
      </c>
      <c r="C78" s="43">
        <f t="shared" si="21"/>
        <v>7000</v>
      </c>
      <c r="D78" s="37">
        <f>+Shepparton!D78</f>
        <v>8200</v>
      </c>
      <c r="E78" s="37">
        <f>+Shepparton!E78</f>
        <v>5700</v>
      </c>
      <c r="F78" s="38">
        <f t="shared" si="23"/>
        <v>403800</v>
      </c>
      <c r="G78" s="37">
        <f>+Shepparton!G78</f>
        <v>5355</v>
      </c>
      <c r="H78" s="20"/>
      <c r="I78" s="39">
        <f>+Lifestyle!BC78</f>
        <v>378896</v>
      </c>
      <c r="J78" s="21">
        <f t="shared" si="25"/>
        <v>0</v>
      </c>
      <c r="K78" s="21">
        <f>+Lifestyle!BD78</f>
        <v>4000</v>
      </c>
      <c r="L78" s="21">
        <f t="shared" si="25"/>
        <v>7000</v>
      </c>
      <c r="M78" s="21">
        <f t="shared" si="25"/>
        <v>103</v>
      </c>
      <c r="N78" s="21">
        <f t="shared" si="25"/>
        <v>60</v>
      </c>
      <c r="O78" s="21">
        <f t="shared" si="25"/>
        <v>65</v>
      </c>
    </row>
    <row r="79" spans="1:15" s="21" customFormat="1" ht="15.75" customHeight="1">
      <c r="A79" s="42" t="s">
        <v>70</v>
      </c>
      <c r="B79" s="35">
        <f t="shared" si="20"/>
        <v>387470</v>
      </c>
      <c r="C79" s="43">
        <f t="shared" si="21"/>
        <v>7000</v>
      </c>
      <c r="D79" s="37">
        <f>+Shepparton!D79</f>
        <v>8380</v>
      </c>
      <c r="E79" s="37">
        <f>+Shepparton!E79</f>
        <v>5750</v>
      </c>
      <c r="F79" s="38">
        <f t="shared" si="23"/>
        <v>408600</v>
      </c>
      <c r="G79" s="37">
        <f>+Shepparton!G79</f>
        <v>5610</v>
      </c>
      <c r="H79" s="20"/>
      <c r="I79" s="39">
        <f>+Lifestyle!BC79</f>
        <v>383469</v>
      </c>
      <c r="J79" s="21">
        <f t="shared" si="25"/>
        <v>0</v>
      </c>
      <c r="K79" s="21">
        <f>+Lifestyle!BD79</f>
        <v>4000</v>
      </c>
      <c r="L79" s="21">
        <f t="shared" si="25"/>
        <v>7000</v>
      </c>
      <c r="M79" s="21">
        <f t="shared" si="25"/>
        <v>103</v>
      </c>
      <c r="N79" s="21">
        <f t="shared" si="25"/>
        <v>60</v>
      </c>
      <c r="O79" s="21">
        <f t="shared" si="25"/>
        <v>65</v>
      </c>
    </row>
    <row r="80" spans="1:15" s="21" customFormat="1" ht="15.75" customHeight="1">
      <c r="A80" s="42" t="s">
        <v>71</v>
      </c>
      <c r="B80" s="35">
        <f t="shared" si="20"/>
        <v>302130</v>
      </c>
      <c r="C80" s="43">
        <f t="shared" si="21"/>
        <v>7000</v>
      </c>
      <c r="D80" s="37">
        <f>+Shepparton!D80</f>
        <v>6200</v>
      </c>
      <c r="E80" s="37">
        <f>+Shepparton!E80</f>
        <v>3795</v>
      </c>
      <c r="F80" s="38">
        <f t="shared" si="23"/>
        <v>319125</v>
      </c>
      <c r="G80" s="37">
        <f>+Shepparton!G80</f>
        <v>4505</v>
      </c>
      <c r="H80" s="59"/>
      <c r="I80" s="39">
        <f>+Lifestyle!BC80</f>
        <v>299127</v>
      </c>
      <c r="J80" s="21">
        <f t="shared" si="25"/>
        <v>0</v>
      </c>
      <c r="K80" s="21">
        <f>+Lifestyle!BD80</f>
        <v>3000</v>
      </c>
      <c r="L80" s="21">
        <f t="shared" si="25"/>
        <v>7000</v>
      </c>
      <c r="M80" s="21">
        <f t="shared" si="25"/>
        <v>103</v>
      </c>
      <c r="N80" s="21">
        <f t="shared" si="25"/>
        <v>60</v>
      </c>
      <c r="O80" s="21">
        <f t="shared" si="25"/>
        <v>65</v>
      </c>
    </row>
    <row r="81" spans="1:15" s="21" customFormat="1" ht="15.75" customHeight="1">
      <c r="A81" s="42" t="s">
        <v>72</v>
      </c>
      <c r="B81" s="35">
        <f t="shared" si="20"/>
        <v>320080</v>
      </c>
      <c r="C81" s="43">
        <f t="shared" si="21"/>
        <v>7000</v>
      </c>
      <c r="D81" s="37">
        <f>+Shepparton!D81</f>
        <v>6800</v>
      </c>
      <c r="E81" s="37">
        <f>+Shepparton!E81</f>
        <v>4465</v>
      </c>
      <c r="F81" s="38">
        <f t="shared" si="23"/>
        <v>338345</v>
      </c>
      <c r="G81" s="37">
        <f>+Shepparton!G81</f>
        <v>4930</v>
      </c>
      <c r="H81" s="59"/>
      <c r="I81" s="39">
        <f>+Lifestyle!BC81</f>
        <v>317076</v>
      </c>
      <c r="J81" s="21">
        <f t="shared" si="25"/>
        <v>0</v>
      </c>
      <c r="K81" s="21">
        <f>+Lifestyle!BD81</f>
        <v>3000</v>
      </c>
      <c r="L81" s="21">
        <f t="shared" si="25"/>
        <v>7000</v>
      </c>
      <c r="M81" s="21">
        <f t="shared" si="25"/>
        <v>103</v>
      </c>
      <c r="N81" s="21">
        <f t="shared" si="25"/>
        <v>60</v>
      </c>
      <c r="O81" s="21">
        <f t="shared" si="25"/>
        <v>65</v>
      </c>
    </row>
    <row r="82" spans="1:15" s="21" customFormat="1" ht="15.75" customHeight="1">
      <c r="A82" s="42" t="s">
        <v>73</v>
      </c>
      <c r="B82" s="35">
        <f t="shared" si="20"/>
        <v>337220</v>
      </c>
      <c r="C82" s="43">
        <f t="shared" si="21"/>
        <v>7000</v>
      </c>
      <c r="D82" s="37">
        <f>+Shepparton!D82</f>
        <v>7420</v>
      </c>
      <c r="E82" s="37">
        <f>+Shepparton!E82</f>
        <v>5000</v>
      </c>
      <c r="F82" s="38">
        <f t="shared" si="23"/>
        <v>356640</v>
      </c>
      <c r="G82" s="37">
        <f>+Shepparton!G82</f>
        <v>4930</v>
      </c>
      <c r="H82" s="59"/>
      <c r="I82" s="39">
        <f>+Lifestyle!BC82</f>
        <v>333212</v>
      </c>
      <c r="J82" s="21">
        <f t="shared" si="25"/>
        <v>0</v>
      </c>
      <c r="K82" s="21">
        <f>+Lifestyle!BD82</f>
        <v>4000</v>
      </c>
      <c r="L82" s="21">
        <f t="shared" si="25"/>
        <v>7000</v>
      </c>
      <c r="M82" s="21">
        <f t="shared" si="25"/>
        <v>103</v>
      </c>
      <c r="N82" s="21">
        <f t="shared" si="25"/>
        <v>60</v>
      </c>
      <c r="O82" s="21">
        <f t="shared" si="25"/>
        <v>65</v>
      </c>
    </row>
    <row r="83" spans="1:15" s="21" customFormat="1" ht="15.75" customHeight="1">
      <c r="A83" s="42" t="s">
        <v>74</v>
      </c>
      <c r="B83" s="35">
        <f t="shared" si="20"/>
        <v>353270</v>
      </c>
      <c r="C83" s="43">
        <f t="shared" si="21"/>
        <v>7000</v>
      </c>
      <c r="D83" s="37">
        <f>+Shepparton!D83</f>
        <v>7610</v>
      </c>
      <c r="E83" s="37">
        <f>+Shepparton!E83</f>
        <v>4700</v>
      </c>
      <c r="F83" s="38">
        <f t="shared" si="23"/>
        <v>372580</v>
      </c>
      <c r="G83" s="37">
        <f>+Shepparton!G83</f>
        <v>5270</v>
      </c>
      <c r="H83" s="59"/>
      <c r="I83" s="39">
        <f>+Lifestyle!BC83</f>
        <v>349264</v>
      </c>
      <c r="J83" s="21">
        <f>+J81</f>
        <v>0</v>
      </c>
      <c r="K83" s="21">
        <f>+Lifestyle!BD83</f>
        <v>4000</v>
      </c>
      <c r="L83" s="21">
        <f>+L81</f>
        <v>7000</v>
      </c>
      <c r="M83" s="21">
        <f>+M81</f>
        <v>103</v>
      </c>
      <c r="N83" s="21">
        <f>+N81</f>
        <v>60</v>
      </c>
      <c r="O83" s="21">
        <f>+O81</f>
        <v>65</v>
      </c>
    </row>
    <row r="84" spans="1:15" s="21" customFormat="1" ht="13.5" customHeight="1" thickBot="1">
      <c r="C84" s="44"/>
      <c r="D84" s="44"/>
      <c r="E84" s="44"/>
      <c r="F84" s="60"/>
      <c r="G84" s="45"/>
      <c r="H84" s="20"/>
      <c r="L84" s="39"/>
    </row>
    <row r="85" spans="1:15" s="21" customFormat="1" ht="13.5" customHeight="1">
      <c r="A85" s="46" t="s">
        <v>187</v>
      </c>
      <c r="B85" s="47"/>
      <c r="C85" s="44"/>
      <c r="D85" s="44"/>
      <c r="E85" s="48" t="s">
        <v>188</v>
      </c>
      <c r="F85" s="49"/>
      <c r="G85" s="50"/>
      <c r="H85" s="20"/>
      <c r="L85" s="39"/>
    </row>
    <row r="86" spans="1:15" s="21" customFormat="1" ht="13.5" customHeight="1">
      <c r="A86" s="51" t="s">
        <v>189</v>
      </c>
      <c r="B86" s="52"/>
      <c r="C86" s="44"/>
      <c r="D86" s="44"/>
      <c r="E86" s="53" t="s">
        <v>190</v>
      </c>
      <c r="G86" s="22"/>
      <c r="H86" s="20"/>
      <c r="L86" s="39"/>
    </row>
    <row r="87" spans="1:15" s="21" customFormat="1" ht="13.5" customHeight="1">
      <c r="A87" s="51" t="s">
        <v>191</v>
      </c>
      <c r="B87" s="52"/>
      <c r="C87" s="44"/>
      <c r="D87" s="44"/>
      <c r="E87" s="53" t="s">
        <v>192</v>
      </c>
      <c r="G87" s="22"/>
      <c r="H87" s="20"/>
      <c r="L87" s="39"/>
    </row>
    <row r="88" spans="1:15" s="21" customFormat="1" ht="13.5" customHeight="1">
      <c r="A88" s="51" t="s">
        <v>193</v>
      </c>
      <c r="B88" s="52"/>
      <c r="C88" s="44"/>
      <c r="D88" s="44"/>
      <c r="E88" s="53" t="s">
        <v>194</v>
      </c>
      <c r="G88" s="22"/>
      <c r="H88" s="20"/>
      <c r="L88" s="39"/>
    </row>
    <row r="89" spans="1:15" s="21" customFormat="1" ht="13.5" customHeight="1">
      <c r="A89" s="51" t="s">
        <v>195</v>
      </c>
      <c r="B89" s="52"/>
      <c r="C89" s="44"/>
      <c r="D89" s="44"/>
      <c r="E89" s="53" t="s">
        <v>196</v>
      </c>
      <c r="G89" s="22"/>
      <c r="H89" s="20"/>
      <c r="L89" s="39"/>
    </row>
    <row r="90" spans="1:15" s="21" customFormat="1" ht="13.5" customHeight="1">
      <c r="A90" s="51"/>
      <c r="B90" s="52"/>
      <c r="C90" s="44"/>
      <c r="D90" s="44"/>
      <c r="E90" s="53" t="s">
        <v>197</v>
      </c>
      <c r="G90" s="22"/>
      <c r="H90" s="20"/>
      <c r="L90" s="39"/>
    </row>
    <row r="91" spans="1:15" s="21" customFormat="1" ht="13.5" customHeight="1" thickBot="1">
      <c r="A91" s="54"/>
      <c r="B91" s="55"/>
      <c r="C91" s="44"/>
      <c r="D91" s="44"/>
      <c r="E91" s="56" t="s">
        <v>198</v>
      </c>
      <c r="F91" s="57"/>
      <c r="G91" s="58"/>
      <c r="H91" s="20"/>
      <c r="L91" s="39"/>
    </row>
    <row r="92" spans="1:15" s="21" customFormat="1" ht="13.5" customHeight="1">
      <c r="A92" s="722" t="s">
        <v>213</v>
      </c>
      <c r="B92" s="722"/>
      <c r="C92" s="722"/>
      <c r="D92" s="722"/>
      <c r="E92" s="722"/>
      <c r="F92" s="722"/>
      <c r="G92" s="722"/>
      <c r="H92" s="20"/>
    </row>
    <row r="93" spans="1:15" s="21" customFormat="1" ht="13.5" customHeight="1" thickBot="1">
      <c r="A93" s="23" t="s">
        <v>1630</v>
      </c>
      <c r="F93" s="24"/>
      <c r="G93" s="25"/>
      <c r="H93" s="20"/>
    </row>
    <row r="94" spans="1:15" s="21" customFormat="1" ht="91.5" customHeight="1" thickBot="1">
      <c r="A94" s="26" t="s">
        <v>175</v>
      </c>
      <c r="B94" s="27" t="s">
        <v>176</v>
      </c>
      <c r="C94" s="28" t="s">
        <v>177</v>
      </c>
      <c r="D94" s="28" t="s">
        <v>178</v>
      </c>
      <c r="E94" s="61" t="s">
        <v>179</v>
      </c>
      <c r="F94" s="29" t="s">
        <v>180</v>
      </c>
      <c r="G94" s="28" t="s">
        <v>181</v>
      </c>
      <c r="H94" s="30"/>
      <c r="I94" s="31" t="s">
        <v>13</v>
      </c>
      <c r="J94" s="32" t="s">
        <v>182</v>
      </c>
      <c r="K94" s="32"/>
      <c r="L94" s="33" t="s">
        <v>183</v>
      </c>
      <c r="M94" s="33" t="s">
        <v>184</v>
      </c>
      <c r="N94" s="33" t="s">
        <v>185</v>
      </c>
      <c r="O94" s="33" t="s">
        <v>186</v>
      </c>
    </row>
    <row r="95" spans="1:15" s="21" customFormat="1" ht="15.75" customHeight="1">
      <c r="A95" s="42" t="s">
        <v>76</v>
      </c>
      <c r="B95" s="35">
        <f t="shared" ref="B95:B116" si="26">+CEILING(I95+J95+K95,10)</f>
        <v>337470</v>
      </c>
      <c r="C95" s="43">
        <f>+L95</f>
        <v>7000</v>
      </c>
      <c r="D95" s="37">
        <f>+Shepparton!D95</f>
        <v>6940</v>
      </c>
      <c r="E95" s="37">
        <f>+Shepparton!E95</f>
        <v>4270</v>
      </c>
      <c r="F95" s="38">
        <f>SUM(B95:E95)</f>
        <v>355680</v>
      </c>
      <c r="G95" s="37">
        <f>+Shepparton!G95</f>
        <v>5015</v>
      </c>
      <c r="H95" s="20"/>
      <c r="I95" s="39">
        <f>+Lifestyle!BC86</f>
        <v>334465</v>
      </c>
      <c r="J95" s="21">
        <f>+J81</f>
        <v>0</v>
      </c>
      <c r="K95" s="21">
        <f>+Lifestyle!BD86</f>
        <v>3000</v>
      </c>
      <c r="L95" s="21">
        <f>+L81</f>
        <v>7000</v>
      </c>
      <c r="M95" s="21">
        <f>+M81</f>
        <v>103</v>
      </c>
      <c r="N95" s="21">
        <f>+N81</f>
        <v>60</v>
      </c>
      <c r="O95" s="21">
        <f>+O81</f>
        <v>65</v>
      </c>
    </row>
    <row r="96" spans="1:15" s="21" customFormat="1" ht="15.75" customHeight="1">
      <c r="A96" s="42" t="s">
        <v>77</v>
      </c>
      <c r="B96" s="35">
        <f t="shared" si="26"/>
        <v>362570</v>
      </c>
      <c r="C96" s="43">
        <f>+L96</f>
        <v>7000</v>
      </c>
      <c r="D96" s="37">
        <f>+Shepparton!D96</f>
        <v>7615</v>
      </c>
      <c r="E96" s="37">
        <f>+Shepparton!E96</f>
        <v>4880</v>
      </c>
      <c r="F96" s="38">
        <f>SUM(B96:E96)</f>
        <v>382065</v>
      </c>
      <c r="G96" s="37">
        <f>+Shepparton!G96</f>
        <v>5780</v>
      </c>
      <c r="H96" s="20"/>
      <c r="I96" s="39">
        <f>+Lifestyle!BC87</f>
        <v>358564</v>
      </c>
      <c r="J96" s="21">
        <f>+J95</f>
        <v>0</v>
      </c>
      <c r="K96" s="21">
        <f>+Lifestyle!BD87</f>
        <v>4000</v>
      </c>
      <c r="L96" s="21">
        <f>+L95</f>
        <v>7000</v>
      </c>
      <c r="M96" s="21">
        <f>+M95</f>
        <v>103</v>
      </c>
      <c r="N96" s="21">
        <f>+N95</f>
        <v>60</v>
      </c>
      <c r="O96" s="21">
        <f>+O95</f>
        <v>65</v>
      </c>
    </row>
    <row r="97" spans="1:15" s="21" customFormat="1" ht="15.75" customHeight="1">
      <c r="A97" s="42" t="s">
        <v>78</v>
      </c>
      <c r="B97" s="35">
        <f t="shared" si="26"/>
        <v>382290</v>
      </c>
      <c r="C97" s="43">
        <f>+L97</f>
        <v>7000</v>
      </c>
      <c r="D97" s="37">
        <f>+Shepparton!D97</f>
        <v>8615</v>
      </c>
      <c r="E97" s="37">
        <f>+Shepparton!E97</f>
        <v>5340</v>
      </c>
      <c r="F97" s="38">
        <f>SUM(B97:E97)</f>
        <v>403245</v>
      </c>
      <c r="G97" s="37">
        <f>+Shepparton!G97</f>
        <v>5865</v>
      </c>
      <c r="H97" s="20"/>
      <c r="I97" s="39">
        <f>+Lifestyle!BC88</f>
        <v>378282</v>
      </c>
      <c r="J97" s="21">
        <f t="shared" ref="J97:O116" si="27">+J96</f>
        <v>0</v>
      </c>
      <c r="K97" s="21">
        <f>+Lifestyle!BD88</f>
        <v>4000</v>
      </c>
      <c r="L97" s="21">
        <f t="shared" si="27"/>
        <v>7000</v>
      </c>
      <c r="M97" s="21">
        <f t="shared" si="27"/>
        <v>103</v>
      </c>
      <c r="N97" s="21">
        <f t="shared" si="27"/>
        <v>60</v>
      </c>
      <c r="O97" s="21">
        <f t="shared" si="27"/>
        <v>65</v>
      </c>
    </row>
    <row r="98" spans="1:15" s="21" customFormat="1" ht="15.75" customHeight="1">
      <c r="A98" s="42" t="s">
        <v>79</v>
      </c>
      <c r="B98" s="35">
        <f t="shared" si="26"/>
        <v>400470</v>
      </c>
      <c r="C98" s="43">
        <f t="shared" ref="C98:C116" si="28">+L98</f>
        <v>7000</v>
      </c>
      <c r="D98" s="37">
        <f>+Shepparton!D98</f>
        <v>8515</v>
      </c>
      <c r="E98" s="37">
        <f>+Shepparton!E98</f>
        <v>6025</v>
      </c>
      <c r="F98" s="38">
        <f t="shared" ref="F98:F116" si="29">SUM(B98:E98)</f>
        <v>422010</v>
      </c>
      <c r="G98" s="37">
        <f>+Shepparton!G98</f>
        <v>6460</v>
      </c>
      <c r="H98" s="20"/>
      <c r="I98" s="39">
        <f>+Lifestyle!BC89</f>
        <v>396461</v>
      </c>
      <c r="J98" s="21">
        <f t="shared" si="27"/>
        <v>0</v>
      </c>
      <c r="K98" s="21">
        <f>+Lifestyle!BD89</f>
        <v>4000</v>
      </c>
      <c r="L98" s="21">
        <f t="shared" si="27"/>
        <v>7000</v>
      </c>
      <c r="M98" s="21">
        <f t="shared" si="27"/>
        <v>103</v>
      </c>
      <c r="N98" s="21">
        <f t="shared" si="27"/>
        <v>60</v>
      </c>
      <c r="O98" s="21">
        <f t="shared" si="27"/>
        <v>65</v>
      </c>
    </row>
    <row r="99" spans="1:15" s="21" customFormat="1" ht="15.75" customHeight="1">
      <c r="A99" s="42" t="s">
        <v>80</v>
      </c>
      <c r="B99" s="35">
        <f t="shared" si="26"/>
        <v>419670</v>
      </c>
      <c r="C99" s="43">
        <f t="shared" si="28"/>
        <v>7000</v>
      </c>
      <c r="D99" s="37">
        <f>+Shepparton!D99</f>
        <v>9045</v>
      </c>
      <c r="E99" s="37">
        <f>+Shepparton!E99</f>
        <v>7265</v>
      </c>
      <c r="F99" s="38">
        <f t="shared" si="29"/>
        <v>442980</v>
      </c>
      <c r="G99" s="37">
        <f>+Shepparton!G99</f>
        <v>7055</v>
      </c>
      <c r="H99" s="20"/>
      <c r="I99" s="39">
        <f>+Lifestyle!BC90</f>
        <v>415664</v>
      </c>
      <c r="J99" s="21">
        <f t="shared" si="27"/>
        <v>0</v>
      </c>
      <c r="K99" s="21">
        <f>+Lifestyle!BD90</f>
        <v>4000</v>
      </c>
      <c r="L99" s="21">
        <f t="shared" si="27"/>
        <v>7000</v>
      </c>
      <c r="M99" s="21">
        <f t="shared" si="27"/>
        <v>103</v>
      </c>
      <c r="N99" s="21">
        <f t="shared" si="27"/>
        <v>60</v>
      </c>
      <c r="O99" s="21">
        <f t="shared" si="27"/>
        <v>65</v>
      </c>
    </row>
    <row r="100" spans="1:15" s="21" customFormat="1" ht="15.75" customHeight="1">
      <c r="A100" s="42" t="s">
        <v>1151</v>
      </c>
      <c r="B100" s="35">
        <f t="shared" si="26"/>
        <v>438790</v>
      </c>
      <c r="C100" s="43">
        <f>+L100</f>
        <v>7000</v>
      </c>
      <c r="D100" s="37">
        <f>+Shepparton!D100</f>
        <v>9030</v>
      </c>
      <c r="E100" s="37">
        <f>+Shepparton!E100</f>
        <v>7055</v>
      </c>
      <c r="F100" s="38">
        <f>SUM(B100:E100)</f>
        <v>461875</v>
      </c>
      <c r="G100" s="37">
        <f>+Shepparton!G100</f>
        <v>7055</v>
      </c>
      <c r="H100" s="20"/>
      <c r="I100" s="39">
        <f>+Lifestyle!BC91</f>
        <v>434789</v>
      </c>
      <c r="J100" s="21">
        <f>+J101</f>
        <v>0</v>
      </c>
      <c r="K100" s="21">
        <f>+Lifestyle!BD91</f>
        <v>4000</v>
      </c>
      <c r="L100" s="21">
        <f>+L101</f>
        <v>7000</v>
      </c>
      <c r="M100" s="21">
        <f>+M101</f>
        <v>103</v>
      </c>
      <c r="N100" s="21">
        <f>+N101</f>
        <v>60</v>
      </c>
      <c r="O100" s="21">
        <f>+O101</f>
        <v>65</v>
      </c>
    </row>
    <row r="101" spans="1:15" s="21" customFormat="1" ht="15.75" customHeight="1">
      <c r="A101" s="42" t="s">
        <v>81</v>
      </c>
      <c r="B101" s="35">
        <f t="shared" si="26"/>
        <v>456430</v>
      </c>
      <c r="C101" s="43">
        <f t="shared" si="28"/>
        <v>7000</v>
      </c>
      <c r="D101" s="37">
        <f>+Shepparton!D101</f>
        <v>9185</v>
      </c>
      <c r="E101" s="37">
        <f>+Shepparton!E101</f>
        <v>7570</v>
      </c>
      <c r="F101" s="38">
        <f>SUM(B101:E101)</f>
        <v>480185</v>
      </c>
      <c r="G101" s="37">
        <f>+Shepparton!G101</f>
        <v>7055</v>
      </c>
      <c r="H101" s="20"/>
      <c r="I101" s="39">
        <f>+Lifestyle!BC92</f>
        <v>452422</v>
      </c>
      <c r="J101" s="21">
        <f t="shared" ref="J101:O102" si="30">+J99</f>
        <v>0</v>
      </c>
      <c r="K101" s="21">
        <f>+Lifestyle!BD92</f>
        <v>4000</v>
      </c>
      <c r="L101" s="21">
        <f t="shared" si="30"/>
        <v>7000</v>
      </c>
      <c r="M101" s="21">
        <f t="shared" si="30"/>
        <v>103</v>
      </c>
      <c r="N101" s="21">
        <f t="shared" si="30"/>
        <v>60</v>
      </c>
      <c r="O101" s="21">
        <f t="shared" si="30"/>
        <v>65</v>
      </c>
    </row>
    <row r="102" spans="1:15" s="21" customFormat="1" ht="15.75" customHeight="1">
      <c r="A102" s="42" t="s">
        <v>1365</v>
      </c>
      <c r="B102" s="35">
        <f t="shared" si="26"/>
        <v>326350</v>
      </c>
      <c r="C102" s="43">
        <f t="shared" ref="C102:C103" si="31">+L102</f>
        <v>7000</v>
      </c>
      <c r="D102" s="37">
        <f>+Shepparton!D102</f>
        <v>7165</v>
      </c>
      <c r="E102" s="37">
        <f>+Shepparton!E102</f>
        <v>3960</v>
      </c>
      <c r="F102" s="38">
        <f>SUM(B102:E102)</f>
        <v>344475</v>
      </c>
      <c r="G102" s="37">
        <f>+Shepparton!G102</f>
        <v>4505</v>
      </c>
      <c r="H102" s="20"/>
      <c r="I102" s="39">
        <f>+Lifestyle!BC93</f>
        <v>323347</v>
      </c>
      <c r="J102" s="21">
        <f t="shared" si="30"/>
        <v>0</v>
      </c>
      <c r="K102" s="21">
        <f>+Lifestyle!BD93</f>
        <v>3000</v>
      </c>
      <c r="L102" s="21">
        <f t="shared" si="30"/>
        <v>7000</v>
      </c>
      <c r="M102" s="21">
        <f t="shared" si="30"/>
        <v>103</v>
      </c>
      <c r="N102" s="21">
        <f t="shared" si="30"/>
        <v>60</v>
      </c>
      <c r="O102" s="21">
        <f t="shared" si="30"/>
        <v>65</v>
      </c>
    </row>
    <row r="103" spans="1:15" s="21" customFormat="1" ht="15.75" customHeight="1">
      <c r="A103" s="42" t="s">
        <v>82</v>
      </c>
      <c r="B103" s="35">
        <f t="shared" si="26"/>
        <v>365510</v>
      </c>
      <c r="C103" s="43">
        <f t="shared" si="31"/>
        <v>7000</v>
      </c>
      <c r="D103" s="37">
        <f>+Shepparton!D103</f>
        <v>8585</v>
      </c>
      <c r="E103" s="37">
        <f>+Shepparton!E103</f>
        <v>4615</v>
      </c>
      <c r="F103" s="38">
        <f>SUM(B103:E103)</f>
        <v>385710</v>
      </c>
      <c r="G103" s="37">
        <f>+Shepparton!G103</f>
        <v>4590</v>
      </c>
      <c r="H103" s="20"/>
      <c r="I103" s="39">
        <f>+Lifestyle!BC94</f>
        <v>361506</v>
      </c>
      <c r="J103" s="21">
        <f>+J100</f>
        <v>0</v>
      </c>
      <c r="K103" s="21">
        <f>+Lifestyle!BD94</f>
        <v>4000</v>
      </c>
      <c r="L103" s="21">
        <f>+L100</f>
        <v>7000</v>
      </c>
      <c r="M103" s="21">
        <f>+M100</f>
        <v>103</v>
      </c>
      <c r="N103" s="21">
        <f>+N100</f>
        <v>60</v>
      </c>
      <c r="O103" s="21">
        <f>+O100</f>
        <v>65</v>
      </c>
    </row>
    <row r="104" spans="1:15" s="21" customFormat="1" ht="15.75" customHeight="1">
      <c r="A104" s="42" t="s">
        <v>1435</v>
      </c>
      <c r="B104" s="35">
        <f t="shared" si="26"/>
        <v>426440</v>
      </c>
      <c r="C104" s="43">
        <f t="shared" ref="C104:C105" si="32">+L104</f>
        <v>7000</v>
      </c>
      <c r="D104" s="37">
        <f>+Shepparton!D104</f>
        <v>10300</v>
      </c>
      <c r="E104" s="37">
        <f>+Shepparton!E104</f>
        <v>5940</v>
      </c>
      <c r="F104" s="38">
        <f t="shared" ref="F104:F105" si="33">SUM(B104:E104)</f>
        <v>449680</v>
      </c>
      <c r="G104" s="37">
        <f>+Shepparton!G104</f>
        <v>6460</v>
      </c>
      <c r="H104" s="20"/>
      <c r="I104" s="39">
        <f>+Lifestyle!BC95</f>
        <v>422431</v>
      </c>
      <c r="J104" s="21">
        <f t="shared" ref="J104:O104" si="34">+J101</f>
        <v>0</v>
      </c>
      <c r="K104" s="21">
        <f>+Lifestyle!BD95</f>
        <v>4000</v>
      </c>
      <c r="L104" s="21">
        <f t="shared" si="34"/>
        <v>7000</v>
      </c>
      <c r="M104" s="21">
        <f t="shared" si="34"/>
        <v>103</v>
      </c>
      <c r="N104" s="21">
        <f t="shared" si="34"/>
        <v>60</v>
      </c>
      <c r="O104" s="21">
        <f t="shared" si="34"/>
        <v>65</v>
      </c>
    </row>
    <row r="105" spans="1:15" s="21" customFormat="1" ht="15.75" customHeight="1">
      <c r="A105" s="42" t="s">
        <v>83</v>
      </c>
      <c r="B105" s="35">
        <f t="shared" si="26"/>
        <v>373590</v>
      </c>
      <c r="C105" s="43">
        <f t="shared" si="32"/>
        <v>7000</v>
      </c>
      <c r="D105" s="37">
        <f>+Shepparton!D105</f>
        <v>7965</v>
      </c>
      <c r="E105" s="37">
        <f>+Shepparton!E105</f>
        <v>5120</v>
      </c>
      <c r="F105" s="38">
        <f t="shared" si="33"/>
        <v>393675</v>
      </c>
      <c r="G105" s="37">
        <f>+Shepparton!G105</f>
        <v>5440</v>
      </c>
      <c r="H105" s="20"/>
      <c r="I105" s="39">
        <f>+Lifestyle!BC96</f>
        <v>369589</v>
      </c>
      <c r="J105" s="21">
        <f t="shared" ref="J105:O105" si="35">+J102</f>
        <v>0</v>
      </c>
      <c r="K105" s="21">
        <f>+Lifestyle!BD96</f>
        <v>4000</v>
      </c>
      <c r="L105" s="21">
        <f t="shared" si="35"/>
        <v>7000</v>
      </c>
      <c r="M105" s="21">
        <f t="shared" si="35"/>
        <v>103</v>
      </c>
      <c r="N105" s="21">
        <f t="shared" si="35"/>
        <v>60</v>
      </c>
      <c r="O105" s="21">
        <f t="shared" si="35"/>
        <v>65</v>
      </c>
    </row>
    <row r="106" spans="1:15" s="21" customFormat="1" ht="15.75" customHeight="1">
      <c r="A106" s="42" t="s">
        <v>84</v>
      </c>
      <c r="B106" s="35">
        <f t="shared" si="26"/>
        <v>425710</v>
      </c>
      <c r="C106" s="43">
        <f t="shared" si="28"/>
        <v>7000</v>
      </c>
      <c r="D106" s="37">
        <f>+Shepparton!D106</f>
        <v>9655</v>
      </c>
      <c r="E106" s="37">
        <f>+Shepparton!E106</f>
        <v>7630</v>
      </c>
      <c r="F106" s="38">
        <f t="shared" si="29"/>
        <v>449995</v>
      </c>
      <c r="G106" s="37">
        <f>+Shepparton!G106</f>
        <v>6205</v>
      </c>
      <c r="H106" s="20"/>
      <c r="I106" s="39">
        <f>+Lifestyle!BC97</f>
        <v>421703</v>
      </c>
      <c r="J106" s="21">
        <f t="shared" si="27"/>
        <v>0</v>
      </c>
      <c r="K106" s="21">
        <f>+Lifestyle!BD97</f>
        <v>4000</v>
      </c>
      <c r="L106" s="21">
        <f t="shared" si="27"/>
        <v>7000</v>
      </c>
      <c r="M106" s="21">
        <f t="shared" si="27"/>
        <v>103</v>
      </c>
      <c r="N106" s="21">
        <f t="shared" si="27"/>
        <v>60</v>
      </c>
      <c r="O106" s="21">
        <f t="shared" si="27"/>
        <v>65</v>
      </c>
    </row>
    <row r="107" spans="1:15" s="21" customFormat="1" ht="15.75" customHeight="1">
      <c r="A107" s="42" t="s">
        <v>85</v>
      </c>
      <c r="B107" s="35">
        <f t="shared" si="26"/>
        <v>334300</v>
      </c>
      <c r="C107" s="43">
        <f t="shared" si="28"/>
        <v>7000</v>
      </c>
      <c r="D107" s="37">
        <f>+Shepparton!D107</f>
        <v>7335</v>
      </c>
      <c r="E107" s="37">
        <f>+Shepparton!E107</f>
        <v>3760</v>
      </c>
      <c r="F107" s="38">
        <f t="shared" si="29"/>
        <v>352395</v>
      </c>
      <c r="G107" s="37">
        <f>+Shepparton!G107</f>
        <v>5355</v>
      </c>
      <c r="H107" s="20"/>
      <c r="I107" s="39">
        <f>+Lifestyle!BC98</f>
        <v>331300</v>
      </c>
      <c r="J107" s="21">
        <f t="shared" si="27"/>
        <v>0</v>
      </c>
      <c r="K107" s="21">
        <f>+Lifestyle!BD98</f>
        <v>3000</v>
      </c>
      <c r="L107" s="21">
        <f t="shared" si="27"/>
        <v>7000</v>
      </c>
      <c r="M107" s="21">
        <f t="shared" si="27"/>
        <v>103</v>
      </c>
      <c r="N107" s="21">
        <f t="shared" si="27"/>
        <v>60</v>
      </c>
      <c r="O107" s="21">
        <f t="shared" si="27"/>
        <v>65</v>
      </c>
    </row>
    <row r="108" spans="1:15" s="21" customFormat="1" ht="15.75" customHeight="1">
      <c r="A108" s="42" t="s">
        <v>86</v>
      </c>
      <c r="B108" s="35">
        <f t="shared" si="26"/>
        <v>366960</v>
      </c>
      <c r="C108" s="43">
        <f t="shared" si="28"/>
        <v>7000</v>
      </c>
      <c r="D108" s="37">
        <f>+Shepparton!D108</f>
        <v>8025</v>
      </c>
      <c r="E108" s="37">
        <f>+Shepparton!E108</f>
        <v>4720</v>
      </c>
      <c r="F108" s="38">
        <f t="shared" si="29"/>
        <v>386705</v>
      </c>
      <c r="G108" s="37">
        <f>+Shepparton!G108</f>
        <v>4845</v>
      </c>
      <c r="H108" s="20"/>
      <c r="I108" s="39">
        <f>+Lifestyle!BC99</f>
        <v>362956</v>
      </c>
      <c r="J108" s="21">
        <f t="shared" si="27"/>
        <v>0</v>
      </c>
      <c r="K108" s="21">
        <f>+Lifestyle!BD99</f>
        <v>4000</v>
      </c>
      <c r="L108" s="21">
        <f t="shared" si="27"/>
        <v>7000</v>
      </c>
      <c r="M108" s="21">
        <f t="shared" si="27"/>
        <v>103</v>
      </c>
      <c r="N108" s="21">
        <f t="shared" si="27"/>
        <v>60</v>
      </c>
      <c r="O108" s="21">
        <f t="shared" si="27"/>
        <v>65</v>
      </c>
    </row>
    <row r="109" spans="1:15" s="21" customFormat="1" ht="15.75" customHeight="1">
      <c r="A109" s="42" t="s">
        <v>87</v>
      </c>
      <c r="B109" s="35">
        <f t="shared" si="26"/>
        <v>389920</v>
      </c>
      <c r="C109" s="43">
        <f t="shared" si="28"/>
        <v>7000</v>
      </c>
      <c r="D109" s="37">
        <f>+Shepparton!D109</f>
        <v>9030</v>
      </c>
      <c r="E109" s="37">
        <f>+Shepparton!E109</f>
        <v>6215</v>
      </c>
      <c r="F109" s="38">
        <f t="shared" si="29"/>
        <v>412165</v>
      </c>
      <c r="G109" s="37">
        <f>+Shepparton!G109</f>
        <v>5525</v>
      </c>
      <c r="H109" s="20"/>
      <c r="I109" s="39">
        <f>+Lifestyle!BC100</f>
        <v>385920</v>
      </c>
      <c r="J109" s="21">
        <f t="shared" si="27"/>
        <v>0</v>
      </c>
      <c r="K109" s="21">
        <f>+Lifestyle!BD100</f>
        <v>4000</v>
      </c>
      <c r="L109" s="21">
        <f t="shared" si="27"/>
        <v>7000</v>
      </c>
      <c r="M109" s="21">
        <f t="shared" si="27"/>
        <v>103</v>
      </c>
      <c r="N109" s="21">
        <f t="shared" si="27"/>
        <v>60</v>
      </c>
      <c r="O109" s="21">
        <f t="shared" si="27"/>
        <v>65</v>
      </c>
    </row>
    <row r="110" spans="1:15" s="21" customFormat="1" ht="15.75" customHeight="1">
      <c r="A110" s="42" t="s">
        <v>88</v>
      </c>
      <c r="B110" s="35">
        <f t="shared" si="26"/>
        <v>400490</v>
      </c>
      <c r="C110" s="43">
        <f t="shared" si="28"/>
        <v>7000</v>
      </c>
      <c r="D110" s="37">
        <f>+Shepparton!D110</f>
        <v>8615</v>
      </c>
      <c r="E110" s="37">
        <f>+Shepparton!E110</f>
        <v>6140</v>
      </c>
      <c r="F110" s="38">
        <f t="shared" si="29"/>
        <v>422245</v>
      </c>
      <c r="G110" s="37">
        <f>+Shepparton!G110</f>
        <v>5185</v>
      </c>
      <c r="H110" s="20"/>
      <c r="I110" s="39">
        <f>+Lifestyle!BC101</f>
        <v>396488</v>
      </c>
      <c r="J110" s="21">
        <f t="shared" si="27"/>
        <v>0</v>
      </c>
      <c r="K110" s="21">
        <f>+Lifestyle!BD101</f>
        <v>4000</v>
      </c>
      <c r="L110" s="21">
        <f t="shared" si="27"/>
        <v>7000</v>
      </c>
      <c r="M110" s="21">
        <f t="shared" si="27"/>
        <v>103</v>
      </c>
      <c r="N110" s="21">
        <f t="shared" si="27"/>
        <v>60</v>
      </c>
      <c r="O110" s="21">
        <f t="shared" si="27"/>
        <v>65</v>
      </c>
    </row>
    <row r="111" spans="1:15" s="21" customFormat="1" ht="15.75" customHeight="1">
      <c r="A111" s="42" t="s">
        <v>1345</v>
      </c>
      <c r="B111" s="35">
        <f t="shared" si="26"/>
        <v>435190</v>
      </c>
      <c r="C111" s="43">
        <f>+L111</f>
        <v>7000</v>
      </c>
      <c r="D111" s="37">
        <f>+Shepparton!D111</f>
        <v>9555</v>
      </c>
      <c r="E111" s="37">
        <f>+Shepparton!E111</f>
        <v>5615</v>
      </c>
      <c r="F111" s="38">
        <f>SUM(B111:E111)</f>
        <v>457360</v>
      </c>
      <c r="G111" s="37">
        <f>+Shepparton!G111</f>
        <v>6800</v>
      </c>
      <c r="H111" s="20"/>
      <c r="I111" s="39">
        <f>+Lifestyle!BC102</f>
        <v>431186</v>
      </c>
      <c r="J111" s="21">
        <f t="shared" ref="J111:O114" si="36">+J110</f>
        <v>0</v>
      </c>
      <c r="K111" s="21">
        <f>+Lifestyle!BD102</f>
        <v>4000</v>
      </c>
      <c r="L111" s="21">
        <f t="shared" si="36"/>
        <v>7000</v>
      </c>
      <c r="M111" s="21">
        <f t="shared" si="36"/>
        <v>103</v>
      </c>
      <c r="N111" s="21">
        <f t="shared" si="36"/>
        <v>60</v>
      </c>
      <c r="O111" s="21">
        <f t="shared" si="36"/>
        <v>65</v>
      </c>
    </row>
    <row r="112" spans="1:15" s="21" customFormat="1" ht="15.75" customHeight="1">
      <c r="A112" s="42" t="s">
        <v>1344</v>
      </c>
      <c r="B112" s="35">
        <f t="shared" si="26"/>
        <v>490080</v>
      </c>
      <c r="C112" s="43">
        <f>+L112</f>
        <v>7000</v>
      </c>
      <c r="D112" s="37">
        <f>+Shepparton!D112</f>
        <v>8710</v>
      </c>
      <c r="E112" s="37">
        <f>+Shepparton!E112</f>
        <v>8980</v>
      </c>
      <c r="F112" s="38">
        <f>SUM(B112:E112)</f>
        <v>514770</v>
      </c>
      <c r="G112" s="37">
        <f>+Shepparton!G112</f>
        <v>7310</v>
      </c>
      <c r="H112" s="20"/>
      <c r="I112" s="39">
        <f>+Lifestyle!BC103</f>
        <v>486075</v>
      </c>
      <c r="J112" s="21">
        <f t="shared" si="36"/>
        <v>0</v>
      </c>
      <c r="K112" s="21">
        <f>+Lifestyle!BD103</f>
        <v>4000</v>
      </c>
      <c r="L112" s="21">
        <f t="shared" si="36"/>
        <v>7000</v>
      </c>
      <c r="M112" s="21">
        <f t="shared" si="36"/>
        <v>103</v>
      </c>
      <c r="N112" s="21">
        <f t="shared" si="36"/>
        <v>60</v>
      </c>
      <c r="O112" s="21">
        <f t="shared" si="36"/>
        <v>65</v>
      </c>
    </row>
    <row r="113" spans="1:15" s="21" customFormat="1" ht="15.75" customHeight="1">
      <c r="A113" s="42" t="s">
        <v>1343</v>
      </c>
      <c r="B113" s="35">
        <f t="shared" si="26"/>
        <v>487870</v>
      </c>
      <c r="C113" s="43">
        <f>+L113</f>
        <v>7000</v>
      </c>
      <c r="D113" s="37">
        <f>+Shepparton!D113</f>
        <v>9830</v>
      </c>
      <c r="E113" s="37">
        <f>+Shepparton!E113</f>
        <v>8155</v>
      </c>
      <c r="F113" s="38">
        <f>SUM(B113:E113)</f>
        <v>512855</v>
      </c>
      <c r="G113" s="37">
        <f>+Shepparton!G113</f>
        <v>7225</v>
      </c>
      <c r="H113" s="20"/>
      <c r="I113" s="39">
        <f>+Lifestyle!BC104</f>
        <v>483869</v>
      </c>
      <c r="J113" s="21">
        <f t="shared" si="36"/>
        <v>0</v>
      </c>
      <c r="K113" s="21">
        <f>+Lifestyle!BD104</f>
        <v>4000</v>
      </c>
      <c r="L113" s="21">
        <f t="shared" si="36"/>
        <v>7000</v>
      </c>
      <c r="M113" s="21">
        <f t="shared" si="36"/>
        <v>103</v>
      </c>
      <c r="N113" s="21">
        <f t="shared" si="36"/>
        <v>60</v>
      </c>
      <c r="O113" s="21">
        <f t="shared" si="36"/>
        <v>65</v>
      </c>
    </row>
    <row r="114" spans="1:15" s="21" customFormat="1" ht="15.75" customHeight="1">
      <c r="A114" s="42" t="s">
        <v>89</v>
      </c>
      <c r="B114" s="35">
        <f t="shared" si="26"/>
        <v>340780</v>
      </c>
      <c r="C114" s="43">
        <f t="shared" si="28"/>
        <v>7000</v>
      </c>
      <c r="D114" s="37">
        <f>+Shepparton!D114</f>
        <v>7785</v>
      </c>
      <c r="E114" s="37">
        <f>+Shepparton!E114</f>
        <v>3690</v>
      </c>
      <c r="F114" s="38">
        <f t="shared" si="29"/>
        <v>359255</v>
      </c>
      <c r="G114" s="37">
        <f>+Shepparton!G114</f>
        <v>5440</v>
      </c>
      <c r="H114" s="20"/>
      <c r="I114" s="39">
        <f>+Lifestyle!BC105</f>
        <v>337780</v>
      </c>
      <c r="J114" s="21">
        <f t="shared" si="36"/>
        <v>0</v>
      </c>
      <c r="K114" s="21">
        <f>+Lifestyle!BD105</f>
        <v>3000</v>
      </c>
      <c r="L114" s="21">
        <f t="shared" si="36"/>
        <v>7000</v>
      </c>
      <c r="M114" s="21">
        <f t="shared" si="36"/>
        <v>103</v>
      </c>
      <c r="N114" s="21">
        <f t="shared" si="36"/>
        <v>60</v>
      </c>
      <c r="O114" s="21">
        <f t="shared" si="36"/>
        <v>65</v>
      </c>
    </row>
    <row r="115" spans="1:15" s="21" customFormat="1" ht="15.75" customHeight="1">
      <c r="A115" s="42" t="s">
        <v>90</v>
      </c>
      <c r="B115" s="35">
        <f t="shared" si="26"/>
        <v>377400</v>
      </c>
      <c r="C115" s="43">
        <f t="shared" si="28"/>
        <v>7000</v>
      </c>
      <c r="D115" s="37">
        <f>+Shepparton!D115</f>
        <v>8685</v>
      </c>
      <c r="E115" s="37">
        <f>+Shepparton!E115</f>
        <v>5230</v>
      </c>
      <c r="F115" s="38">
        <f t="shared" si="29"/>
        <v>398315</v>
      </c>
      <c r="G115" s="37">
        <f>+Shepparton!G115</f>
        <v>5780</v>
      </c>
      <c r="H115" s="20"/>
      <c r="I115" s="39">
        <f>+Lifestyle!BC106</f>
        <v>373394</v>
      </c>
      <c r="J115" s="21">
        <f t="shared" si="27"/>
        <v>0</v>
      </c>
      <c r="K115" s="21">
        <f>+Lifestyle!BD106</f>
        <v>4000</v>
      </c>
      <c r="L115" s="21">
        <f t="shared" si="27"/>
        <v>7000</v>
      </c>
      <c r="M115" s="21">
        <f t="shared" si="27"/>
        <v>103</v>
      </c>
      <c r="N115" s="21">
        <f t="shared" si="27"/>
        <v>60</v>
      </c>
      <c r="O115" s="21">
        <f t="shared" si="27"/>
        <v>65</v>
      </c>
    </row>
    <row r="116" spans="1:15" s="21" customFormat="1" ht="15.75" customHeight="1">
      <c r="A116" s="42" t="s">
        <v>91</v>
      </c>
      <c r="B116" s="35">
        <f t="shared" si="26"/>
        <v>420700</v>
      </c>
      <c r="C116" s="43">
        <f t="shared" si="28"/>
        <v>7000</v>
      </c>
      <c r="D116" s="37">
        <f>+Shepparton!D116</f>
        <v>10365</v>
      </c>
      <c r="E116" s="37">
        <f>+Shepparton!E116</f>
        <v>6480</v>
      </c>
      <c r="F116" s="38">
        <f t="shared" si="29"/>
        <v>444545</v>
      </c>
      <c r="G116" s="37">
        <f>+Shepparton!G116</f>
        <v>6375</v>
      </c>
      <c r="H116" s="20"/>
      <c r="I116" s="39">
        <f>+Lifestyle!BC107</f>
        <v>416691</v>
      </c>
      <c r="J116" s="21">
        <f t="shared" si="27"/>
        <v>0</v>
      </c>
      <c r="K116" s="21">
        <f>+Lifestyle!BD107</f>
        <v>4000</v>
      </c>
      <c r="L116" s="21">
        <f t="shared" si="27"/>
        <v>7000</v>
      </c>
      <c r="M116" s="21">
        <f t="shared" si="27"/>
        <v>103</v>
      </c>
      <c r="N116" s="21">
        <f t="shared" si="27"/>
        <v>60</v>
      </c>
      <c r="O116" s="21">
        <f t="shared" si="27"/>
        <v>65</v>
      </c>
    </row>
    <row r="117" spans="1:15" s="21" customFormat="1" ht="13.5" customHeight="1" thickBot="1">
      <c r="C117" s="44"/>
      <c r="D117" s="44"/>
      <c r="E117" s="44"/>
      <c r="F117" s="45"/>
      <c r="G117" s="45"/>
      <c r="H117" s="20"/>
      <c r="L117" s="39"/>
    </row>
    <row r="118" spans="1:15" s="21" customFormat="1" ht="13.5" customHeight="1">
      <c r="A118" s="46" t="s">
        <v>187</v>
      </c>
      <c r="B118" s="47"/>
      <c r="C118" s="44"/>
      <c r="D118" s="44"/>
      <c r="E118" s="48" t="s">
        <v>188</v>
      </c>
      <c r="F118" s="49"/>
      <c r="G118" s="50"/>
      <c r="H118" s="20"/>
      <c r="L118" s="39"/>
    </row>
    <row r="119" spans="1:15" s="21" customFormat="1" ht="13.5" customHeight="1">
      <c r="A119" s="51" t="s">
        <v>189</v>
      </c>
      <c r="B119" s="52"/>
      <c r="C119" s="44"/>
      <c r="D119" s="44"/>
      <c r="E119" s="53" t="s">
        <v>190</v>
      </c>
      <c r="G119" s="22"/>
      <c r="H119" s="20"/>
      <c r="L119" s="39"/>
    </row>
    <row r="120" spans="1:15" s="21" customFormat="1" ht="13.5" customHeight="1">
      <c r="A120" s="51" t="s">
        <v>191</v>
      </c>
      <c r="B120" s="52"/>
      <c r="C120" s="44"/>
      <c r="D120" s="44"/>
      <c r="E120" s="53" t="s">
        <v>192</v>
      </c>
      <c r="G120" s="22"/>
      <c r="H120" s="20"/>
      <c r="L120" s="39"/>
    </row>
    <row r="121" spans="1:15" s="21" customFormat="1" ht="13.5" customHeight="1">
      <c r="A121" s="51" t="s">
        <v>193</v>
      </c>
      <c r="B121" s="52"/>
      <c r="C121" s="44"/>
      <c r="D121" s="44"/>
      <c r="E121" s="53" t="s">
        <v>194</v>
      </c>
      <c r="G121" s="22"/>
      <c r="H121" s="20"/>
      <c r="L121" s="39"/>
    </row>
    <row r="122" spans="1:15" s="21" customFormat="1" ht="13.5" customHeight="1">
      <c r="A122" s="51" t="s">
        <v>195</v>
      </c>
      <c r="B122" s="52"/>
      <c r="C122" s="44"/>
      <c r="D122" s="44"/>
      <c r="E122" s="53" t="s">
        <v>196</v>
      </c>
      <c r="G122" s="22"/>
      <c r="H122" s="20"/>
      <c r="L122" s="39"/>
    </row>
    <row r="123" spans="1:15" s="21" customFormat="1" ht="13.5" customHeight="1">
      <c r="A123" s="51"/>
      <c r="B123" s="52"/>
      <c r="C123" s="44"/>
      <c r="D123" s="44"/>
      <c r="E123" s="53" t="s">
        <v>197</v>
      </c>
      <c r="G123" s="22"/>
      <c r="H123" s="20"/>
      <c r="L123" s="39"/>
    </row>
    <row r="124" spans="1:15" s="21" customFormat="1" ht="13.5" customHeight="1" thickBot="1">
      <c r="A124" s="54"/>
      <c r="B124" s="55"/>
      <c r="C124" s="44"/>
      <c r="D124" s="44"/>
      <c r="E124" s="56" t="s">
        <v>198</v>
      </c>
      <c r="F124" s="57"/>
      <c r="G124" s="58"/>
      <c r="H124" s="20"/>
      <c r="L124" s="39"/>
    </row>
    <row r="125" spans="1:15" ht="13.5" customHeight="1">
      <c r="E125" s="64"/>
    </row>
    <row r="126" spans="1:15" ht="13.5" customHeight="1">
      <c r="A126" s="21" t="s">
        <v>996</v>
      </c>
      <c r="E126" s="64"/>
    </row>
    <row r="127" spans="1:15" ht="13.5" customHeight="1">
      <c r="A127" s="21"/>
      <c r="E127" s="64"/>
    </row>
    <row r="128" spans="1:15" ht="13.5" customHeight="1">
      <c r="A128" s="400" t="s">
        <v>1187</v>
      </c>
      <c r="E128" s="64"/>
    </row>
    <row r="129" spans="1:15" s="21" customFormat="1" ht="13.5" customHeight="1">
      <c r="A129" s="722" t="s">
        <v>213</v>
      </c>
      <c r="B129" s="722"/>
      <c r="C129" s="722"/>
      <c r="D129" s="722"/>
      <c r="E129" s="722"/>
      <c r="F129" s="722"/>
      <c r="G129" s="722"/>
      <c r="H129" s="20"/>
    </row>
    <row r="130" spans="1:15" s="21" customFormat="1" ht="13.5" customHeight="1" thickBot="1">
      <c r="A130" s="23" t="s">
        <v>1631</v>
      </c>
      <c r="B130" s="23"/>
      <c r="C130" s="23"/>
      <c r="D130" s="23"/>
      <c r="E130" s="23"/>
      <c r="F130" s="24"/>
      <c r="G130" s="25"/>
      <c r="H130" s="20"/>
      <c r="L130" s="39"/>
    </row>
    <row r="131" spans="1:15" s="21" customFormat="1" ht="91.5" customHeight="1" thickBot="1">
      <c r="A131" s="26" t="s">
        <v>175</v>
      </c>
      <c r="B131" s="27" t="s">
        <v>176</v>
      </c>
      <c r="C131" s="28" t="s">
        <v>177</v>
      </c>
      <c r="D131" s="28" t="s">
        <v>178</v>
      </c>
      <c r="E131" s="28" t="s">
        <v>179</v>
      </c>
      <c r="F131" s="29" t="s">
        <v>180</v>
      </c>
      <c r="G131" s="28" t="s">
        <v>181</v>
      </c>
      <c r="H131" s="20"/>
      <c r="L131" s="39"/>
    </row>
    <row r="132" spans="1:15" s="21" customFormat="1" ht="15.75" customHeight="1">
      <c r="A132" s="67" t="s">
        <v>93</v>
      </c>
      <c r="B132" s="35">
        <f t="shared" ref="B132:B147" si="37">+CEILING(I132+J132+K132,10)</f>
        <v>294890</v>
      </c>
      <c r="C132" s="36">
        <f>+L132</f>
        <v>7000</v>
      </c>
      <c r="D132" s="37">
        <f>+Shepparton!D130</f>
        <v>6020</v>
      </c>
      <c r="E132" s="37">
        <f>+Shepparton!E130</f>
        <v>2420</v>
      </c>
      <c r="F132" s="38">
        <f>SUM(B132:E132)</f>
        <v>310330</v>
      </c>
      <c r="G132" s="37">
        <f>+Shepparton!G130</f>
        <v>4930</v>
      </c>
      <c r="H132" s="20"/>
      <c r="I132" s="39">
        <f>+Lifestyle!BC110</f>
        <v>291884</v>
      </c>
      <c r="J132" s="21">
        <f>+J116</f>
        <v>0</v>
      </c>
      <c r="K132" s="21">
        <f>+Lifestyle!BD110</f>
        <v>3000</v>
      </c>
      <c r="L132" s="21">
        <f>+L116</f>
        <v>7000</v>
      </c>
      <c r="M132" s="21">
        <f>+M116</f>
        <v>103</v>
      </c>
      <c r="N132" s="21">
        <f>+N116</f>
        <v>60</v>
      </c>
      <c r="O132" s="21">
        <f>+O116</f>
        <v>65</v>
      </c>
    </row>
    <row r="133" spans="1:15" s="21" customFormat="1" ht="15.75" customHeight="1">
      <c r="A133" s="68" t="s">
        <v>94</v>
      </c>
      <c r="B133" s="35">
        <f t="shared" si="37"/>
        <v>306890</v>
      </c>
      <c r="C133" s="43">
        <f t="shared" ref="C133:C147" si="38">+L133</f>
        <v>7000</v>
      </c>
      <c r="D133" s="37">
        <f>+Shepparton!D131</f>
        <v>6020</v>
      </c>
      <c r="E133" s="37">
        <f>+Shepparton!E131</f>
        <v>2420</v>
      </c>
      <c r="F133" s="38">
        <f t="shared" ref="F133:F147" si="39">SUM(B133:E133)</f>
        <v>322330</v>
      </c>
      <c r="G133" s="37">
        <v>4030</v>
      </c>
      <c r="H133" s="20"/>
      <c r="I133" s="39">
        <f>+Lifestyle!BC111</f>
        <v>303881</v>
      </c>
      <c r="J133" s="21">
        <f>+J132</f>
        <v>0</v>
      </c>
      <c r="K133" s="21">
        <f>+Lifestyle!BD111</f>
        <v>3000</v>
      </c>
      <c r="L133" s="21">
        <f>+L132</f>
        <v>7000</v>
      </c>
      <c r="M133" s="21">
        <f>+M132</f>
        <v>103</v>
      </c>
      <c r="N133" s="21">
        <f>+N132</f>
        <v>60</v>
      </c>
      <c r="O133" s="21">
        <f>+O132</f>
        <v>65</v>
      </c>
    </row>
    <row r="134" spans="1:15" s="21" customFormat="1" ht="15.75" customHeight="1">
      <c r="A134" s="68" t="s">
        <v>95</v>
      </c>
      <c r="B134" s="35">
        <f t="shared" si="37"/>
        <v>313870</v>
      </c>
      <c r="C134" s="43">
        <f t="shared" si="38"/>
        <v>7000</v>
      </c>
      <c r="D134" s="37">
        <f>+Shepparton!D132</f>
        <v>6985</v>
      </c>
      <c r="E134" s="37">
        <f>+Shepparton!E132</f>
        <v>2415</v>
      </c>
      <c r="F134" s="38">
        <f t="shared" si="39"/>
        <v>330270</v>
      </c>
      <c r="G134" s="37">
        <v>4030</v>
      </c>
      <c r="H134" s="20"/>
      <c r="I134" s="39">
        <f>+Lifestyle!BC112</f>
        <v>310861</v>
      </c>
      <c r="J134" s="21">
        <f t="shared" ref="J134:O147" si="40">+J133</f>
        <v>0</v>
      </c>
      <c r="K134" s="21">
        <f>+Lifestyle!BD112</f>
        <v>3000</v>
      </c>
      <c r="L134" s="21">
        <f t="shared" si="40"/>
        <v>7000</v>
      </c>
      <c r="M134" s="21">
        <f t="shared" si="40"/>
        <v>103</v>
      </c>
      <c r="N134" s="21">
        <f t="shared" si="40"/>
        <v>60</v>
      </c>
      <c r="O134" s="21">
        <f t="shared" si="40"/>
        <v>65</v>
      </c>
    </row>
    <row r="135" spans="1:15" s="21" customFormat="1" ht="15.75" customHeight="1">
      <c r="A135" s="68" t="s">
        <v>96</v>
      </c>
      <c r="B135" s="35">
        <f t="shared" si="37"/>
        <v>290320</v>
      </c>
      <c r="C135" s="43">
        <f t="shared" si="38"/>
        <v>7000</v>
      </c>
      <c r="D135" s="37">
        <f>+Shepparton!D133</f>
        <v>5860</v>
      </c>
      <c r="E135" s="37">
        <f>+Shepparton!E133</f>
        <v>2565</v>
      </c>
      <c r="F135" s="38">
        <f t="shared" si="39"/>
        <v>305745</v>
      </c>
      <c r="G135" s="37">
        <v>3250</v>
      </c>
      <c r="H135" s="20"/>
      <c r="I135" s="39">
        <f>+Lifestyle!BC113</f>
        <v>287320</v>
      </c>
      <c r="J135" s="21">
        <f t="shared" si="40"/>
        <v>0</v>
      </c>
      <c r="K135" s="21">
        <f>+Lifestyle!BD113</f>
        <v>3000</v>
      </c>
      <c r="L135" s="21">
        <f t="shared" si="40"/>
        <v>7000</v>
      </c>
      <c r="M135" s="21">
        <f t="shared" si="40"/>
        <v>103</v>
      </c>
      <c r="N135" s="21">
        <f t="shared" si="40"/>
        <v>60</v>
      </c>
      <c r="O135" s="21">
        <f t="shared" si="40"/>
        <v>65</v>
      </c>
    </row>
    <row r="136" spans="1:15" s="21" customFormat="1" ht="15.75" customHeight="1">
      <c r="A136" s="68" t="s">
        <v>97</v>
      </c>
      <c r="B136" s="35">
        <f t="shared" si="37"/>
        <v>311010</v>
      </c>
      <c r="C136" s="43">
        <f t="shared" si="38"/>
        <v>7000</v>
      </c>
      <c r="D136" s="37">
        <f>+Shepparton!D134</f>
        <v>6355</v>
      </c>
      <c r="E136" s="37">
        <f>+Shepparton!E134</f>
        <v>3230</v>
      </c>
      <c r="F136" s="38">
        <f t="shared" si="39"/>
        <v>327595</v>
      </c>
      <c r="G136" s="37">
        <v>3770</v>
      </c>
      <c r="H136" s="20"/>
      <c r="I136" s="39">
        <f>+Lifestyle!BC114</f>
        <v>308010</v>
      </c>
      <c r="J136" s="21">
        <f t="shared" si="40"/>
        <v>0</v>
      </c>
      <c r="K136" s="21">
        <f>+Lifestyle!BD114</f>
        <v>3000</v>
      </c>
      <c r="L136" s="21">
        <f t="shared" si="40"/>
        <v>7000</v>
      </c>
      <c r="M136" s="21">
        <f t="shared" si="40"/>
        <v>103</v>
      </c>
      <c r="N136" s="21">
        <f t="shared" si="40"/>
        <v>60</v>
      </c>
      <c r="O136" s="21">
        <f t="shared" si="40"/>
        <v>65</v>
      </c>
    </row>
    <row r="137" spans="1:15" s="21" customFormat="1" ht="15.75" customHeight="1">
      <c r="A137" s="68" t="s">
        <v>98</v>
      </c>
      <c r="B137" s="35">
        <f t="shared" si="37"/>
        <v>314660</v>
      </c>
      <c r="C137" s="43">
        <f t="shared" si="38"/>
        <v>7000</v>
      </c>
      <c r="D137" s="37">
        <f>+Shepparton!D135</f>
        <v>5905</v>
      </c>
      <c r="E137" s="37">
        <f>+Shepparton!E135</f>
        <v>3835</v>
      </c>
      <c r="F137" s="38">
        <f t="shared" si="39"/>
        <v>331400</v>
      </c>
      <c r="G137" s="37">
        <v>3965</v>
      </c>
      <c r="H137" s="20"/>
      <c r="I137" s="39">
        <f>+Lifestyle!BC115</f>
        <v>311658</v>
      </c>
      <c r="J137" s="21">
        <f t="shared" si="40"/>
        <v>0</v>
      </c>
      <c r="K137" s="21">
        <f>+Lifestyle!BD115</f>
        <v>3000</v>
      </c>
      <c r="L137" s="21">
        <f t="shared" si="40"/>
        <v>7000</v>
      </c>
      <c r="M137" s="21">
        <f t="shared" si="40"/>
        <v>103</v>
      </c>
      <c r="N137" s="21">
        <f t="shared" si="40"/>
        <v>60</v>
      </c>
      <c r="O137" s="21">
        <f t="shared" si="40"/>
        <v>65</v>
      </c>
    </row>
    <row r="138" spans="1:15" s="21" customFormat="1" ht="15.75" customHeight="1">
      <c r="A138" s="68" t="s">
        <v>99</v>
      </c>
      <c r="B138" s="35">
        <f t="shared" si="37"/>
        <v>258640</v>
      </c>
      <c r="C138" s="43">
        <f t="shared" si="38"/>
        <v>7000</v>
      </c>
      <c r="D138" s="37">
        <f>+Shepparton!D136</f>
        <v>5865</v>
      </c>
      <c r="E138" s="37">
        <f>+Shepparton!E136</f>
        <v>2700</v>
      </c>
      <c r="F138" s="38">
        <f t="shared" si="39"/>
        <v>274205</v>
      </c>
      <c r="G138" s="37">
        <v>3120</v>
      </c>
      <c r="H138" s="20"/>
      <c r="I138" s="39">
        <f>+Lifestyle!BC116</f>
        <v>255631</v>
      </c>
      <c r="J138" s="21">
        <f t="shared" si="40"/>
        <v>0</v>
      </c>
      <c r="K138" s="21">
        <f>+Lifestyle!BD116</f>
        <v>3000</v>
      </c>
      <c r="L138" s="21">
        <f t="shared" si="40"/>
        <v>7000</v>
      </c>
      <c r="M138" s="21">
        <f t="shared" si="40"/>
        <v>103</v>
      </c>
      <c r="N138" s="21">
        <f t="shared" si="40"/>
        <v>60</v>
      </c>
      <c r="O138" s="21">
        <f t="shared" si="40"/>
        <v>65</v>
      </c>
    </row>
    <row r="139" spans="1:15" s="21" customFormat="1" ht="15.75" customHeight="1">
      <c r="A139" s="68" t="s">
        <v>100</v>
      </c>
      <c r="B139" s="35">
        <f t="shared" si="37"/>
        <v>292770</v>
      </c>
      <c r="C139" s="43">
        <f t="shared" si="38"/>
        <v>7000</v>
      </c>
      <c r="D139" s="37">
        <f>+Shepparton!D137</f>
        <v>6770</v>
      </c>
      <c r="E139" s="37">
        <f>+Shepparton!E137</f>
        <v>2660</v>
      </c>
      <c r="F139" s="38">
        <f t="shared" si="39"/>
        <v>309200</v>
      </c>
      <c r="G139" s="37">
        <v>3445</v>
      </c>
      <c r="H139" s="20"/>
      <c r="I139" s="39">
        <f>+Lifestyle!BC117</f>
        <v>289769</v>
      </c>
      <c r="J139" s="21">
        <f t="shared" si="40"/>
        <v>0</v>
      </c>
      <c r="K139" s="21">
        <f>+Lifestyle!BD117</f>
        <v>3000</v>
      </c>
      <c r="L139" s="21">
        <f t="shared" si="40"/>
        <v>7000</v>
      </c>
      <c r="M139" s="21">
        <f t="shared" si="40"/>
        <v>103</v>
      </c>
      <c r="N139" s="21">
        <f t="shared" si="40"/>
        <v>60</v>
      </c>
      <c r="O139" s="21">
        <f t="shared" si="40"/>
        <v>65</v>
      </c>
    </row>
    <row r="140" spans="1:15" s="21" customFormat="1" ht="15.75" customHeight="1">
      <c r="A140" s="68" t="s">
        <v>101</v>
      </c>
      <c r="B140" s="35">
        <f t="shared" si="37"/>
        <v>308240</v>
      </c>
      <c r="C140" s="43">
        <f t="shared" si="38"/>
        <v>7000</v>
      </c>
      <c r="D140" s="37">
        <f>+Shepparton!D138</f>
        <v>7355</v>
      </c>
      <c r="E140" s="37">
        <f>+Shepparton!E138</f>
        <v>3320</v>
      </c>
      <c r="F140" s="38">
        <f t="shared" si="39"/>
        <v>325915</v>
      </c>
      <c r="G140" s="37">
        <v>3705</v>
      </c>
      <c r="H140" s="20"/>
      <c r="I140" s="39">
        <f>+Lifestyle!BC118</f>
        <v>305240</v>
      </c>
      <c r="J140" s="21">
        <f t="shared" si="40"/>
        <v>0</v>
      </c>
      <c r="K140" s="21">
        <f>+Lifestyle!BD118</f>
        <v>3000</v>
      </c>
      <c r="L140" s="21">
        <f t="shared" si="40"/>
        <v>7000</v>
      </c>
      <c r="M140" s="21">
        <f t="shared" si="40"/>
        <v>103</v>
      </c>
      <c r="N140" s="21">
        <f t="shared" si="40"/>
        <v>60</v>
      </c>
      <c r="O140" s="21">
        <f t="shared" si="40"/>
        <v>65</v>
      </c>
    </row>
    <row r="141" spans="1:15" s="21" customFormat="1" ht="15.75" customHeight="1">
      <c r="A141" s="68" t="s">
        <v>102</v>
      </c>
      <c r="B141" s="35">
        <f t="shared" si="37"/>
        <v>304270</v>
      </c>
      <c r="C141" s="43">
        <f t="shared" si="38"/>
        <v>7000</v>
      </c>
      <c r="D141" s="37">
        <f>+Shepparton!D139</f>
        <v>6715</v>
      </c>
      <c r="E141" s="37">
        <f>+Shepparton!E139</f>
        <v>2760</v>
      </c>
      <c r="F141" s="38">
        <f t="shared" si="39"/>
        <v>320745</v>
      </c>
      <c r="G141" s="37">
        <v>4225</v>
      </c>
      <c r="H141" s="20"/>
      <c r="I141" s="39">
        <f>+Lifestyle!BC119</f>
        <v>301267</v>
      </c>
      <c r="J141" s="21">
        <f t="shared" si="40"/>
        <v>0</v>
      </c>
      <c r="K141" s="21">
        <f>+Lifestyle!BD119</f>
        <v>3000</v>
      </c>
      <c r="L141" s="21">
        <f t="shared" si="40"/>
        <v>7000</v>
      </c>
      <c r="M141" s="21">
        <f t="shared" si="40"/>
        <v>103</v>
      </c>
      <c r="N141" s="21">
        <f t="shared" si="40"/>
        <v>60</v>
      </c>
      <c r="O141" s="21">
        <f t="shared" si="40"/>
        <v>65</v>
      </c>
    </row>
    <row r="142" spans="1:15" s="21" customFormat="1" ht="15.75" customHeight="1">
      <c r="A142" s="68" t="s">
        <v>103</v>
      </c>
      <c r="B142" s="35">
        <f t="shared" si="37"/>
        <v>307350</v>
      </c>
      <c r="C142" s="43">
        <f t="shared" si="38"/>
        <v>7000</v>
      </c>
      <c r="D142" s="37">
        <f>+Shepparton!D140</f>
        <v>6790</v>
      </c>
      <c r="E142" s="37">
        <f>+Shepparton!E140</f>
        <v>3010</v>
      </c>
      <c r="F142" s="38">
        <f t="shared" si="39"/>
        <v>324150</v>
      </c>
      <c r="G142" s="37">
        <v>4290</v>
      </c>
      <c r="H142" s="20"/>
      <c r="I142" s="39">
        <f>+Lifestyle!BC120</f>
        <v>304349</v>
      </c>
      <c r="J142" s="21">
        <f t="shared" si="40"/>
        <v>0</v>
      </c>
      <c r="K142" s="21">
        <f>+Lifestyle!BD120</f>
        <v>3000</v>
      </c>
      <c r="L142" s="21">
        <f t="shared" si="40"/>
        <v>7000</v>
      </c>
      <c r="M142" s="21">
        <f t="shared" si="40"/>
        <v>103</v>
      </c>
      <c r="N142" s="21">
        <f t="shared" si="40"/>
        <v>60</v>
      </c>
      <c r="O142" s="21">
        <f t="shared" si="40"/>
        <v>65</v>
      </c>
    </row>
    <row r="143" spans="1:15" s="21" customFormat="1" ht="15.75" customHeight="1">
      <c r="A143" s="68" t="s">
        <v>104</v>
      </c>
      <c r="B143" s="35">
        <f t="shared" si="37"/>
        <v>319970</v>
      </c>
      <c r="C143" s="43">
        <f t="shared" si="38"/>
        <v>7000</v>
      </c>
      <c r="D143" s="37">
        <f>+Shepparton!D141</f>
        <v>6995</v>
      </c>
      <c r="E143" s="37">
        <f>+Shepparton!E141</f>
        <v>3110</v>
      </c>
      <c r="F143" s="38">
        <f t="shared" si="39"/>
        <v>337075</v>
      </c>
      <c r="G143" s="37">
        <v>4485</v>
      </c>
      <c r="H143" s="20"/>
      <c r="I143" s="39">
        <f>+Lifestyle!BC121</f>
        <v>316965</v>
      </c>
      <c r="J143" s="21">
        <f t="shared" si="40"/>
        <v>0</v>
      </c>
      <c r="K143" s="21">
        <f>+Lifestyle!BD121</f>
        <v>3000</v>
      </c>
      <c r="L143" s="21">
        <f t="shared" si="40"/>
        <v>7000</v>
      </c>
      <c r="M143" s="21">
        <f t="shared" si="40"/>
        <v>103</v>
      </c>
      <c r="N143" s="21">
        <f t="shared" si="40"/>
        <v>60</v>
      </c>
      <c r="O143" s="21">
        <f t="shared" si="40"/>
        <v>65</v>
      </c>
    </row>
    <row r="144" spans="1:15" s="21" customFormat="1" ht="15.75" customHeight="1">
      <c r="A144" s="68" t="s">
        <v>53</v>
      </c>
      <c r="B144" s="35">
        <f t="shared" si="37"/>
        <v>317210</v>
      </c>
      <c r="C144" s="43">
        <f t="shared" si="38"/>
        <v>7000</v>
      </c>
      <c r="D144" s="37">
        <f>+Shepparton!D142</f>
        <v>6515</v>
      </c>
      <c r="E144" s="37">
        <f>+Shepparton!E142</f>
        <v>3700</v>
      </c>
      <c r="F144" s="38">
        <f t="shared" si="39"/>
        <v>334425</v>
      </c>
      <c r="G144" s="37">
        <v>3770</v>
      </c>
      <c r="H144" s="20"/>
      <c r="I144" s="39">
        <f>+Lifestyle!BC122</f>
        <v>314204</v>
      </c>
      <c r="J144" s="21">
        <f t="shared" si="40"/>
        <v>0</v>
      </c>
      <c r="K144" s="21">
        <f>+Lifestyle!BD122</f>
        <v>3000</v>
      </c>
      <c r="L144" s="21">
        <f t="shared" si="40"/>
        <v>7000</v>
      </c>
      <c r="M144" s="21">
        <f t="shared" si="40"/>
        <v>103</v>
      </c>
      <c r="N144" s="21">
        <f t="shared" si="40"/>
        <v>60</v>
      </c>
      <c r="O144" s="21">
        <f t="shared" si="40"/>
        <v>65</v>
      </c>
    </row>
    <row r="145" spans="1:15" s="21" customFormat="1" ht="15.75" customHeight="1">
      <c r="A145" s="68" t="s">
        <v>105</v>
      </c>
      <c r="B145" s="35">
        <f t="shared" si="37"/>
        <v>298760</v>
      </c>
      <c r="C145" s="43">
        <f t="shared" si="38"/>
        <v>7000</v>
      </c>
      <c r="D145" s="37">
        <f>+Shepparton!D143</f>
        <v>5775</v>
      </c>
      <c r="E145" s="37">
        <f>+Shepparton!E143</f>
        <v>2875</v>
      </c>
      <c r="F145" s="38">
        <f t="shared" si="39"/>
        <v>314410</v>
      </c>
      <c r="G145" s="37">
        <v>3575</v>
      </c>
      <c r="H145" s="20"/>
      <c r="I145" s="39">
        <f>+Lifestyle!BC123</f>
        <v>295754</v>
      </c>
      <c r="J145" s="21">
        <f t="shared" si="40"/>
        <v>0</v>
      </c>
      <c r="K145" s="21">
        <f>+Lifestyle!BD123</f>
        <v>3000</v>
      </c>
      <c r="L145" s="21">
        <f t="shared" si="40"/>
        <v>7000</v>
      </c>
      <c r="M145" s="21">
        <f t="shared" si="40"/>
        <v>103</v>
      </c>
      <c r="N145" s="21">
        <f t="shared" si="40"/>
        <v>60</v>
      </c>
      <c r="O145" s="21">
        <f t="shared" si="40"/>
        <v>65</v>
      </c>
    </row>
    <row r="146" spans="1:15" s="21" customFormat="1" ht="15.75" customHeight="1">
      <c r="A146" s="68" t="s">
        <v>106</v>
      </c>
      <c r="B146" s="35">
        <f t="shared" si="37"/>
        <v>284000</v>
      </c>
      <c r="C146" s="43">
        <f t="shared" si="38"/>
        <v>7000</v>
      </c>
      <c r="D146" s="37">
        <f>+Shepparton!D144</f>
        <v>5785</v>
      </c>
      <c r="E146" s="37">
        <f>+Shepparton!E144</f>
        <v>2275</v>
      </c>
      <c r="F146" s="38">
        <f t="shared" si="39"/>
        <v>299060</v>
      </c>
      <c r="G146" s="37">
        <v>3315</v>
      </c>
      <c r="H146" s="20"/>
      <c r="I146" s="39">
        <f>+Lifestyle!BC124</f>
        <v>281000</v>
      </c>
      <c r="J146" s="21">
        <f t="shared" si="40"/>
        <v>0</v>
      </c>
      <c r="K146" s="21">
        <f>+Lifestyle!BD124</f>
        <v>3000</v>
      </c>
      <c r="L146" s="21">
        <f t="shared" si="40"/>
        <v>7000</v>
      </c>
      <c r="M146" s="21">
        <f t="shared" si="40"/>
        <v>103</v>
      </c>
      <c r="N146" s="21">
        <f t="shared" si="40"/>
        <v>60</v>
      </c>
      <c r="O146" s="21">
        <f t="shared" si="40"/>
        <v>65</v>
      </c>
    </row>
    <row r="147" spans="1:15" s="21" customFormat="1" ht="15.75" customHeight="1">
      <c r="A147" s="68" t="s">
        <v>107</v>
      </c>
      <c r="B147" s="35">
        <f t="shared" si="37"/>
        <v>286950</v>
      </c>
      <c r="C147" s="43">
        <f t="shared" si="38"/>
        <v>7000</v>
      </c>
      <c r="D147" s="37">
        <f>+Shepparton!D145</f>
        <v>6405</v>
      </c>
      <c r="E147" s="37">
        <f>+Shepparton!E145</f>
        <v>2260</v>
      </c>
      <c r="F147" s="38">
        <f t="shared" si="39"/>
        <v>302615</v>
      </c>
      <c r="G147" s="37">
        <v>3510</v>
      </c>
      <c r="H147" s="20"/>
      <c r="I147" s="39">
        <f>+Lifestyle!BC125</f>
        <v>283948</v>
      </c>
      <c r="J147" s="21">
        <f t="shared" si="40"/>
        <v>0</v>
      </c>
      <c r="K147" s="21">
        <f>+Lifestyle!BD125</f>
        <v>3000</v>
      </c>
      <c r="L147" s="21">
        <f t="shared" si="40"/>
        <v>7000</v>
      </c>
      <c r="M147" s="21">
        <f t="shared" si="40"/>
        <v>103</v>
      </c>
      <c r="N147" s="21">
        <f t="shared" si="40"/>
        <v>60</v>
      </c>
      <c r="O147" s="21">
        <f t="shared" si="40"/>
        <v>65</v>
      </c>
    </row>
    <row r="148" spans="1:15" s="21" customFormat="1" ht="13.5" customHeight="1">
      <c r="C148" s="44"/>
      <c r="D148" s="44"/>
      <c r="E148" s="69"/>
      <c r="G148" s="45"/>
      <c r="H148" s="20"/>
      <c r="L148" s="39"/>
    </row>
    <row r="149" spans="1:15" s="21" customFormat="1" ht="13.5" customHeight="1" thickBot="1">
      <c r="A149" s="23" t="s">
        <v>1632</v>
      </c>
      <c r="B149" s="23"/>
      <c r="C149" s="23"/>
      <c r="D149" s="23"/>
      <c r="E149" s="23"/>
      <c r="F149" s="24"/>
      <c r="G149" s="25"/>
      <c r="H149" s="20"/>
      <c r="L149" s="39"/>
    </row>
    <row r="150" spans="1:15" s="21" customFormat="1" ht="91.5" customHeight="1" thickBot="1">
      <c r="A150" s="26" t="s">
        <v>175</v>
      </c>
      <c r="B150" s="27" t="s">
        <v>176</v>
      </c>
      <c r="C150" s="28" t="s">
        <v>177</v>
      </c>
      <c r="D150" s="28" t="s">
        <v>178</v>
      </c>
      <c r="E150" s="28" t="s">
        <v>179</v>
      </c>
      <c r="F150" s="29" t="s">
        <v>180</v>
      </c>
      <c r="G150" s="28" t="s">
        <v>181</v>
      </c>
      <c r="H150" s="20"/>
      <c r="L150" s="39"/>
    </row>
    <row r="151" spans="1:15" s="21" customFormat="1" ht="15.75" customHeight="1">
      <c r="A151" s="67" t="s">
        <v>109</v>
      </c>
      <c r="B151" s="35">
        <f t="shared" ref="B151:B158" si="41">+CEILING(I151+J151+K151,10)</f>
        <v>321840</v>
      </c>
      <c r="C151" s="36">
        <f>+L151</f>
        <v>7000</v>
      </c>
      <c r="D151" s="37">
        <f>+Shepparton!D149</f>
        <v>8070</v>
      </c>
      <c r="E151" s="37">
        <f>+Shepparton!E149</f>
        <v>2970</v>
      </c>
      <c r="F151" s="38">
        <f>SUM(B151:E151)</f>
        <v>339880</v>
      </c>
      <c r="G151" s="37">
        <f>+Shepparton!G149</f>
        <v>4030</v>
      </c>
      <c r="H151" s="20"/>
      <c r="I151" s="39">
        <f>+Lifestyle!BC129</f>
        <v>318837</v>
      </c>
      <c r="J151" s="21">
        <f>+J147</f>
        <v>0</v>
      </c>
      <c r="K151" s="21">
        <f>+Lifestyle!BD129</f>
        <v>3000</v>
      </c>
      <c r="L151" s="21">
        <f>+L147</f>
        <v>7000</v>
      </c>
      <c r="M151" s="21">
        <f>+M147</f>
        <v>103</v>
      </c>
      <c r="N151" s="21">
        <f>+N147</f>
        <v>60</v>
      </c>
      <c r="O151" s="21">
        <f>+O147</f>
        <v>65</v>
      </c>
    </row>
    <row r="152" spans="1:15" s="21" customFormat="1" ht="15.75" customHeight="1">
      <c r="A152" s="68" t="s">
        <v>110</v>
      </c>
      <c r="B152" s="35">
        <f t="shared" si="41"/>
        <v>324510</v>
      </c>
      <c r="C152" s="43">
        <f t="shared" ref="C152:C158" si="42">+L152</f>
        <v>7000</v>
      </c>
      <c r="D152" s="37">
        <f>+Shepparton!D150</f>
        <v>7140</v>
      </c>
      <c r="E152" s="37">
        <f>+Shepparton!E150</f>
        <v>3535</v>
      </c>
      <c r="F152" s="38">
        <f t="shared" ref="F152:F158" si="43">SUM(B152:E152)</f>
        <v>342185</v>
      </c>
      <c r="G152" s="37">
        <f>+Shepparton!G150</f>
        <v>3885</v>
      </c>
      <c r="H152" s="20"/>
      <c r="I152" s="39">
        <f>+Lifestyle!BC130</f>
        <v>321501</v>
      </c>
      <c r="J152" s="21">
        <f>+J151</f>
        <v>0</v>
      </c>
      <c r="K152" s="21">
        <f>+Lifestyle!BD130</f>
        <v>3000</v>
      </c>
      <c r="L152" s="21">
        <f>+L151</f>
        <v>7000</v>
      </c>
      <c r="M152" s="21">
        <f>+M151</f>
        <v>103</v>
      </c>
      <c r="N152" s="21">
        <f>+N151</f>
        <v>60</v>
      </c>
      <c r="O152" s="21">
        <f>+O151</f>
        <v>65</v>
      </c>
    </row>
    <row r="153" spans="1:15" s="21" customFormat="1" ht="15.75" customHeight="1">
      <c r="A153" s="68" t="s">
        <v>111</v>
      </c>
      <c r="B153" s="35">
        <f t="shared" si="41"/>
        <v>341590</v>
      </c>
      <c r="C153" s="43">
        <f t="shared" si="42"/>
        <v>7000</v>
      </c>
      <c r="D153" s="37">
        <f>+Shepparton!D151</f>
        <v>8545</v>
      </c>
      <c r="E153" s="37">
        <f>+Shepparton!E151</f>
        <v>3995</v>
      </c>
      <c r="F153" s="38">
        <f t="shared" si="43"/>
        <v>361130</v>
      </c>
      <c r="G153" s="37">
        <f>+Shepparton!G151</f>
        <v>4125</v>
      </c>
      <c r="H153" s="20"/>
      <c r="I153" s="39">
        <f>+Lifestyle!BC131</f>
        <v>338587</v>
      </c>
      <c r="J153" s="21">
        <f t="shared" ref="J153:O158" si="44">+J152</f>
        <v>0</v>
      </c>
      <c r="K153" s="21">
        <f>+Lifestyle!BD131</f>
        <v>3000</v>
      </c>
      <c r="L153" s="21">
        <f t="shared" si="44"/>
        <v>7000</v>
      </c>
      <c r="M153" s="21">
        <f t="shared" si="44"/>
        <v>103</v>
      </c>
      <c r="N153" s="21">
        <f t="shared" si="44"/>
        <v>60</v>
      </c>
      <c r="O153" s="21">
        <f t="shared" si="44"/>
        <v>65</v>
      </c>
    </row>
    <row r="154" spans="1:15" s="21" customFormat="1" ht="15.75" customHeight="1">
      <c r="A154" s="68" t="s">
        <v>112</v>
      </c>
      <c r="B154" s="35">
        <f t="shared" si="41"/>
        <v>337800</v>
      </c>
      <c r="C154" s="43">
        <f t="shared" si="42"/>
        <v>7000</v>
      </c>
      <c r="D154" s="37">
        <f>+Shepparton!D152</f>
        <v>7820</v>
      </c>
      <c r="E154" s="37">
        <f>+Shepparton!E152</f>
        <v>3995</v>
      </c>
      <c r="F154" s="38">
        <f t="shared" si="43"/>
        <v>356615</v>
      </c>
      <c r="G154" s="37">
        <f>+Shepparton!G152</f>
        <v>4125</v>
      </c>
      <c r="H154" s="20"/>
      <c r="I154" s="39">
        <f>+Lifestyle!BC132</f>
        <v>334795</v>
      </c>
      <c r="J154" s="21">
        <f t="shared" si="44"/>
        <v>0</v>
      </c>
      <c r="K154" s="21">
        <f>+Lifestyle!BD132</f>
        <v>3000</v>
      </c>
      <c r="L154" s="21">
        <f t="shared" si="44"/>
        <v>7000</v>
      </c>
      <c r="M154" s="21">
        <f t="shared" si="44"/>
        <v>103</v>
      </c>
      <c r="N154" s="21">
        <f t="shared" si="44"/>
        <v>60</v>
      </c>
      <c r="O154" s="21">
        <f t="shared" si="44"/>
        <v>65</v>
      </c>
    </row>
    <row r="155" spans="1:15" s="21" customFormat="1" ht="15.75" customHeight="1">
      <c r="A155" s="68" t="s">
        <v>1459</v>
      </c>
      <c r="B155" s="35">
        <f t="shared" si="41"/>
        <v>266880</v>
      </c>
      <c r="C155" s="43">
        <f t="shared" si="42"/>
        <v>7000</v>
      </c>
      <c r="D155" s="37">
        <f>+Shepparton!D153</f>
        <v>3270</v>
      </c>
      <c r="E155" s="37">
        <f>+Shepparton!E153</f>
        <v>2860</v>
      </c>
      <c r="F155" s="38">
        <f t="shared" si="43"/>
        <v>280010</v>
      </c>
      <c r="G155" s="37">
        <f>+Shepparton!G153</f>
        <v>3655</v>
      </c>
      <c r="H155" s="20"/>
      <c r="I155" s="39">
        <f>+Lifestyle!BC133</f>
        <v>263878</v>
      </c>
      <c r="J155" s="21">
        <f t="shared" si="44"/>
        <v>0</v>
      </c>
      <c r="K155" s="21">
        <f>+Lifestyle!BD133</f>
        <v>3000</v>
      </c>
      <c r="L155" s="21">
        <f t="shared" si="44"/>
        <v>7000</v>
      </c>
      <c r="M155" s="21">
        <f t="shared" si="44"/>
        <v>103</v>
      </c>
      <c r="N155" s="21">
        <f t="shared" si="44"/>
        <v>60</v>
      </c>
      <c r="O155" s="21">
        <f t="shared" si="44"/>
        <v>65</v>
      </c>
    </row>
    <row r="156" spans="1:15" s="21" customFormat="1" ht="15.75" customHeight="1">
      <c r="A156" s="68" t="s">
        <v>1460</v>
      </c>
      <c r="B156" s="35">
        <f t="shared" si="41"/>
        <v>281620</v>
      </c>
      <c r="C156" s="43">
        <f t="shared" si="42"/>
        <v>7000</v>
      </c>
      <c r="D156" s="37">
        <f>+Shepparton!D154</f>
        <v>3485</v>
      </c>
      <c r="E156" s="37">
        <f>+Shepparton!E154</f>
        <v>3615</v>
      </c>
      <c r="F156" s="38">
        <f t="shared" si="43"/>
        <v>295720</v>
      </c>
      <c r="G156" s="37">
        <f>+Shepparton!G154</f>
        <v>3995</v>
      </c>
      <c r="H156" s="20"/>
      <c r="I156" s="39">
        <f>+Lifestyle!BC134</f>
        <v>278617</v>
      </c>
      <c r="J156" s="21">
        <f t="shared" si="44"/>
        <v>0</v>
      </c>
      <c r="K156" s="21">
        <f>+Lifestyle!BD134</f>
        <v>3000</v>
      </c>
      <c r="L156" s="21">
        <f t="shared" si="44"/>
        <v>7000</v>
      </c>
      <c r="M156" s="21">
        <f t="shared" si="44"/>
        <v>103</v>
      </c>
      <c r="N156" s="21">
        <f t="shared" si="44"/>
        <v>60</v>
      </c>
      <c r="O156" s="21">
        <f t="shared" si="44"/>
        <v>65</v>
      </c>
    </row>
    <row r="157" spans="1:15" s="21" customFormat="1" ht="15.75" customHeight="1">
      <c r="A157" s="68" t="s">
        <v>1461</v>
      </c>
      <c r="B157" s="35">
        <f t="shared" si="41"/>
        <v>294960</v>
      </c>
      <c r="C157" s="43">
        <f t="shared" si="42"/>
        <v>7000</v>
      </c>
      <c r="D157" s="37">
        <f>+Shepparton!D155</f>
        <v>4265</v>
      </c>
      <c r="E157" s="37">
        <f>+Shepparton!E155</f>
        <v>4555</v>
      </c>
      <c r="F157" s="38">
        <f t="shared" si="43"/>
        <v>310780</v>
      </c>
      <c r="G157" s="37">
        <f>+Shepparton!G155</f>
        <v>4250</v>
      </c>
      <c r="H157" s="20"/>
      <c r="I157" s="39">
        <f>+Lifestyle!BC135</f>
        <v>291960</v>
      </c>
      <c r="J157" s="21">
        <f t="shared" si="44"/>
        <v>0</v>
      </c>
      <c r="K157" s="21">
        <f>+Lifestyle!BD135</f>
        <v>3000</v>
      </c>
      <c r="L157" s="21">
        <f t="shared" si="44"/>
        <v>7000</v>
      </c>
      <c r="M157" s="21">
        <f t="shared" si="44"/>
        <v>103</v>
      </c>
      <c r="N157" s="21">
        <f t="shared" si="44"/>
        <v>60</v>
      </c>
      <c r="O157" s="21">
        <f t="shared" si="44"/>
        <v>65</v>
      </c>
    </row>
    <row r="158" spans="1:15" s="21" customFormat="1" ht="15.75" customHeight="1">
      <c r="A158" s="68" t="s">
        <v>1462</v>
      </c>
      <c r="B158" s="35">
        <f t="shared" si="41"/>
        <v>313510</v>
      </c>
      <c r="C158" s="43">
        <f t="shared" si="42"/>
        <v>7000</v>
      </c>
      <c r="D158" s="37">
        <f>+Shepparton!D156</f>
        <v>4510</v>
      </c>
      <c r="E158" s="37">
        <f>+Shepparton!E156</f>
        <v>4915</v>
      </c>
      <c r="F158" s="38">
        <f t="shared" si="43"/>
        <v>329935</v>
      </c>
      <c r="G158" s="37">
        <f>+Shepparton!G156</f>
        <v>4760</v>
      </c>
      <c r="H158" s="20"/>
      <c r="I158" s="39">
        <f>+Lifestyle!BC136</f>
        <v>310508</v>
      </c>
      <c r="J158" s="21">
        <f t="shared" si="44"/>
        <v>0</v>
      </c>
      <c r="K158" s="21">
        <f>+Lifestyle!BD136</f>
        <v>3000</v>
      </c>
      <c r="L158" s="21">
        <f t="shared" si="44"/>
        <v>7000</v>
      </c>
      <c r="M158" s="21">
        <f t="shared" si="44"/>
        <v>103</v>
      </c>
      <c r="N158" s="21">
        <f t="shared" si="44"/>
        <v>60</v>
      </c>
      <c r="O158" s="21">
        <f t="shared" si="44"/>
        <v>65</v>
      </c>
    </row>
    <row r="159" spans="1:15" s="21" customFormat="1" ht="13.5" customHeight="1" thickBot="1">
      <c r="C159" s="44"/>
      <c r="D159" s="44"/>
      <c r="E159" s="44"/>
      <c r="F159" s="60"/>
      <c r="G159" s="45"/>
      <c r="H159" s="20"/>
      <c r="L159" s="39"/>
    </row>
    <row r="160" spans="1:15" s="21" customFormat="1" ht="13.5" customHeight="1">
      <c r="A160" s="46" t="s">
        <v>187</v>
      </c>
      <c r="B160" s="47"/>
      <c r="C160" s="44"/>
      <c r="D160" s="44"/>
      <c r="E160" s="48" t="s">
        <v>188</v>
      </c>
      <c r="F160" s="49"/>
      <c r="G160" s="50"/>
      <c r="H160" s="20"/>
      <c r="L160" s="39"/>
    </row>
    <row r="161" spans="1:12" s="21" customFormat="1" ht="13.5" customHeight="1">
      <c r="A161" s="51" t="s">
        <v>189</v>
      </c>
      <c r="B161" s="52"/>
      <c r="C161" s="44"/>
      <c r="D161" s="44"/>
      <c r="E161" s="53" t="s">
        <v>190</v>
      </c>
      <c r="G161" s="22"/>
      <c r="H161" s="20"/>
      <c r="L161" s="39"/>
    </row>
    <row r="162" spans="1:12" s="21" customFormat="1" ht="13.5" customHeight="1">
      <c r="A162" s="51" t="s">
        <v>191</v>
      </c>
      <c r="B162" s="52"/>
      <c r="C162" s="44"/>
      <c r="D162" s="44"/>
      <c r="E162" s="53" t="s">
        <v>192</v>
      </c>
      <c r="G162" s="22"/>
      <c r="H162" s="20"/>
      <c r="L162" s="39"/>
    </row>
    <row r="163" spans="1:12" s="21" customFormat="1" ht="13.5" customHeight="1">
      <c r="A163" s="51" t="s">
        <v>193</v>
      </c>
      <c r="B163" s="52"/>
      <c r="C163" s="44"/>
      <c r="D163" s="44"/>
      <c r="E163" s="53" t="s">
        <v>194</v>
      </c>
      <c r="G163" s="22"/>
      <c r="H163" s="20"/>
      <c r="L163" s="39"/>
    </row>
    <row r="164" spans="1:12" s="21" customFormat="1" ht="13.5" customHeight="1">
      <c r="A164" s="51" t="s">
        <v>195</v>
      </c>
      <c r="B164" s="52"/>
      <c r="C164" s="44"/>
      <c r="D164" s="44"/>
      <c r="E164" s="53" t="s">
        <v>196</v>
      </c>
      <c r="G164" s="22"/>
      <c r="H164" s="20"/>
      <c r="L164" s="39"/>
    </row>
    <row r="165" spans="1:12" s="21" customFormat="1" ht="13.5" customHeight="1">
      <c r="A165" s="51"/>
      <c r="B165" s="52"/>
      <c r="C165" s="44"/>
      <c r="D165" s="44"/>
      <c r="E165" s="53" t="s">
        <v>197</v>
      </c>
      <c r="G165" s="22"/>
      <c r="H165" s="20"/>
      <c r="L165" s="39"/>
    </row>
    <row r="166" spans="1:12" s="21" customFormat="1" ht="13.5" customHeight="1" thickBot="1">
      <c r="A166" s="54"/>
      <c r="B166" s="55"/>
      <c r="C166" s="44"/>
      <c r="D166" s="44"/>
      <c r="E166" s="56" t="s">
        <v>198</v>
      </c>
      <c r="F166" s="57"/>
      <c r="G166" s="58"/>
      <c r="H166" s="20"/>
      <c r="L166" s="39"/>
    </row>
    <row r="167" spans="1:12" ht="13.5" customHeight="1">
      <c r="E167" s="64"/>
    </row>
    <row r="168" spans="1:12" ht="13.5" customHeight="1">
      <c r="E168" s="64"/>
    </row>
    <row r="169" spans="1:12" ht="13.5" customHeight="1">
      <c r="E169" s="64"/>
    </row>
    <row r="170" spans="1:12" ht="13.5" customHeight="1">
      <c r="E170" s="64"/>
    </row>
    <row r="171" spans="1:12" ht="13.5" customHeight="1">
      <c r="E171" s="64"/>
    </row>
    <row r="172" spans="1:12" ht="13.5" customHeight="1">
      <c r="E172" s="64"/>
    </row>
    <row r="173" spans="1:12" ht="13.5" customHeight="1">
      <c r="E173" s="64"/>
    </row>
    <row r="174" spans="1:12" ht="13.5" customHeight="1">
      <c r="E174" s="64"/>
    </row>
    <row r="175" spans="1:12" ht="13.5" customHeight="1">
      <c r="E175" s="64"/>
    </row>
    <row r="176" spans="1:12" ht="13.5" customHeight="1">
      <c r="E176" s="64"/>
    </row>
    <row r="177" spans="5:5" ht="13.5" customHeight="1">
      <c r="E177" s="64"/>
    </row>
    <row r="178" spans="5:5" ht="13.5" customHeight="1">
      <c r="E178" s="64"/>
    </row>
    <row r="179" spans="5:5" ht="13.5" customHeight="1">
      <c r="E179" s="64"/>
    </row>
    <row r="180" spans="5:5" ht="13.5" customHeight="1">
      <c r="E180" s="64"/>
    </row>
    <row r="181" spans="5:5" ht="13.5" customHeight="1">
      <c r="E181" s="64"/>
    </row>
    <row r="182" spans="5:5" ht="13.5" customHeight="1">
      <c r="E182" s="64"/>
    </row>
    <row r="183" spans="5:5" ht="13.5" customHeight="1">
      <c r="E183" s="64"/>
    </row>
    <row r="184" spans="5:5" ht="13.5" customHeight="1">
      <c r="E184" s="64"/>
    </row>
    <row r="185" spans="5:5" ht="13.5" customHeight="1">
      <c r="E185" s="64"/>
    </row>
    <row r="186" spans="5:5" ht="13.5" customHeight="1">
      <c r="E186" s="64"/>
    </row>
    <row r="187" spans="5:5" ht="13.5" customHeight="1">
      <c r="E187" s="64"/>
    </row>
    <row r="188" spans="5:5" ht="13.5" customHeight="1">
      <c r="E188" s="64"/>
    </row>
    <row r="189" spans="5:5" ht="13.5" customHeight="1">
      <c r="E189" s="64"/>
    </row>
    <row r="190" spans="5:5" ht="13.5" customHeight="1">
      <c r="E190" s="64"/>
    </row>
    <row r="191" spans="5:5" ht="13.5" customHeight="1">
      <c r="E191" s="64"/>
    </row>
    <row r="192" spans="5:5" ht="13.5" customHeight="1">
      <c r="E192" s="64"/>
    </row>
    <row r="193" spans="5:5" ht="13.5" customHeight="1">
      <c r="E193" s="64"/>
    </row>
    <row r="194" spans="5:5" ht="13.5" customHeight="1">
      <c r="E194" s="64"/>
    </row>
  </sheetData>
  <sheetProtection algorithmName="SHA-512" hashValue="Y0Gx+4U4v2/uk3yjRT+AVG8VaVYGftiNLSKBBgYL9Kown2Agyg9K5likZkT+eg9XLbmrVhr4WC+ua1EhGhqPig==" saltValue="Dze4RLFjfu/PDlzqtI6Vkw==" spinCount="100000" sheet="1" selectLockedCells="1" selectUnlockedCells="1"/>
  <mergeCells count="4">
    <mergeCell ref="A92:G92"/>
    <mergeCell ref="A129:G129"/>
    <mergeCell ref="A1:G1"/>
    <mergeCell ref="A48:G48"/>
  </mergeCells>
  <phoneticPr fontId="57" type="noConversion"/>
  <pageMargins left="0.70866141732283461" right="0.70866141732283461" top="0.59055118110236215" bottom="0" header="0.31496062992125984" footer="0.31496062992125984"/>
  <pageSetup paperSize="9" scale="91" fitToHeight="0" orientation="portrait" r:id="rId1"/>
  <headerFooter>
    <oddHeader>&amp;LCAVALIER HOMES GOULBURN VALLEY PTY. LTD.&amp;R&amp;G</oddHeader>
  </headerFooter>
  <rowBreaks count="3" manualBreakCount="3">
    <brk id="47" max="6" man="1"/>
    <brk id="91" max="6" man="1"/>
    <brk id="128" max="6" man="1"/>
  </rowBreaks>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EF0BC-64CA-468A-8B90-09A03849B224}">
  <sheetPr codeName="Sheet14">
    <pageSetUpPr fitToPage="1"/>
  </sheetPr>
  <dimension ref="B2:E54"/>
  <sheetViews>
    <sheetView workbookViewId="0">
      <selection activeCell="G64" sqref="G64"/>
    </sheetView>
  </sheetViews>
  <sheetFormatPr defaultRowHeight="15"/>
  <cols>
    <col min="2" max="2" width="65.140625" bestFit="1" customWidth="1"/>
    <col min="3" max="3" width="9.140625" bestFit="1" customWidth="1"/>
  </cols>
  <sheetData>
    <row r="2" spans="2:5">
      <c r="B2" s="18" t="s">
        <v>1464</v>
      </c>
    </row>
    <row r="4" spans="2:5">
      <c r="B4" s="18" t="s">
        <v>466</v>
      </c>
      <c r="C4" s="401"/>
    </row>
    <row r="5" spans="2:5">
      <c r="B5" t="s">
        <v>1348</v>
      </c>
      <c r="C5" s="401">
        <v>1340</v>
      </c>
    </row>
    <row r="6" spans="2:5">
      <c r="B6" t="s">
        <v>1166</v>
      </c>
      <c r="C6" s="401">
        <v>175</v>
      </c>
    </row>
    <row r="7" spans="2:5">
      <c r="B7" s="402" t="s">
        <v>173</v>
      </c>
      <c r="C7" s="403">
        <f>SUM(C5:C6)</f>
        <v>1515</v>
      </c>
    </row>
    <row r="8" spans="2:5">
      <c r="C8" s="401"/>
    </row>
    <row r="9" spans="2:5">
      <c r="B9" s="18" t="s">
        <v>1349</v>
      </c>
      <c r="C9" s="401"/>
    </row>
    <row r="10" spans="2:5">
      <c r="B10" t="s">
        <v>1191</v>
      </c>
      <c r="C10" s="401">
        <v>660</v>
      </c>
    </row>
    <row r="11" spans="2:5">
      <c r="B11" t="s">
        <v>468</v>
      </c>
      <c r="C11" s="401">
        <v>250</v>
      </c>
    </row>
    <row r="12" spans="2:5">
      <c r="B12" t="s">
        <v>500</v>
      </c>
      <c r="C12" s="401">
        <v>960</v>
      </c>
      <c r="E12" t="s">
        <v>1192</v>
      </c>
    </row>
    <row r="13" spans="2:5">
      <c r="B13" s="402" t="s">
        <v>173</v>
      </c>
      <c r="C13" s="403">
        <f>SUM(C10:C12)</f>
        <v>1870</v>
      </c>
    </row>
    <row r="14" spans="2:5">
      <c r="C14" s="401"/>
    </row>
    <row r="15" spans="2:5">
      <c r="B15" s="18" t="s">
        <v>1350</v>
      </c>
      <c r="C15" s="401"/>
    </row>
    <row r="16" spans="2:5">
      <c r="B16" t="s">
        <v>1189</v>
      </c>
      <c r="C16" s="401">
        <v>1355</v>
      </c>
    </row>
    <row r="17" spans="2:5">
      <c r="B17" t="s">
        <v>1190</v>
      </c>
      <c r="C17" s="401">
        <v>165</v>
      </c>
    </row>
    <row r="18" spans="2:5">
      <c r="B18" t="s">
        <v>467</v>
      </c>
      <c r="C18" s="401">
        <v>200</v>
      </c>
    </row>
    <row r="19" spans="2:5">
      <c r="B19" s="402" t="s">
        <v>173</v>
      </c>
      <c r="C19" s="403">
        <f>SUM(C16:C18)</f>
        <v>1720</v>
      </c>
    </row>
    <row r="20" spans="2:5">
      <c r="C20" s="401"/>
    </row>
    <row r="21" spans="2:5">
      <c r="B21" s="18" t="s">
        <v>1193</v>
      </c>
      <c r="C21" s="401"/>
    </row>
    <row r="22" spans="2:5">
      <c r="B22" t="s">
        <v>1194</v>
      </c>
      <c r="C22" s="401">
        <v>3625</v>
      </c>
      <c r="E22" t="s">
        <v>1195</v>
      </c>
    </row>
    <row r="23" spans="2:5">
      <c r="B23" t="s">
        <v>1196</v>
      </c>
      <c r="C23" s="401">
        <v>355</v>
      </c>
    </row>
    <row r="24" spans="2:5">
      <c r="B24" s="402" t="s">
        <v>173</v>
      </c>
      <c r="C24" s="403">
        <f>SUM(C22:C23)</f>
        <v>3980</v>
      </c>
    </row>
    <row r="25" spans="2:5">
      <c r="C25" s="401"/>
    </row>
    <row r="26" spans="2:5">
      <c r="B26" s="18" t="s">
        <v>1351</v>
      </c>
      <c r="C26" s="401"/>
    </row>
    <row r="27" spans="2:5">
      <c r="B27" t="s">
        <v>1197</v>
      </c>
      <c r="C27" s="401">
        <v>1350</v>
      </c>
      <c r="E27" t="s">
        <v>1198</v>
      </c>
    </row>
    <row r="28" spans="2:5">
      <c r="B28" t="s">
        <v>469</v>
      </c>
      <c r="C28" s="401">
        <v>450</v>
      </c>
      <c r="E28" t="s">
        <v>1199</v>
      </c>
    </row>
    <row r="29" spans="2:5">
      <c r="B29" t="s">
        <v>470</v>
      </c>
      <c r="C29" s="401">
        <v>800</v>
      </c>
    </row>
    <row r="30" spans="2:5">
      <c r="B30" t="s">
        <v>471</v>
      </c>
      <c r="C30" s="401">
        <v>250</v>
      </c>
    </row>
    <row r="31" spans="2:5">
      <c r="B31" s="402" t="s">
        <v>173</v>
      </c>
      <c r="C31" s="403">
        <f>SUM(C27:C30)</f>
        <v>2850</v>
      </c>
    </row>
    <row r="32" spans="2:5">
      <c r="C32" s="401"/>
    </row>
    <row r="33" spans="2:5">
      <c r="B33" s="18" t="s">
        <v>1352</v>
      </c>
      <c r="C33" s="401"/>
    </row>
    <row r="34" spans="2:5">
      <c r="B34" t="s">
        <v>1200</v>
      </c>
      <c r="C34" s="401">
        <v>2800</v>
      </c>
    </row>
    <row r="35" spans="2:5">
      <c r="B35" t="s">
        <v>1201</v>
      </c>
      <c r="C35" s="401">
        <v>220</v>
      </c>
    </row>
    <row r="36" spans="2:5">
      <c r="B36" s="402" t="s">
        <v>173</v>
      </c>
      <c r="C36" s="403">
        <f>SUM(C34:C35)</f>
        <v>3020</v>
      </c>
    </row>
    <row r="37" spans="2:5">
      <c r="C37" s="401"/>
    </row>
    <row r="38" spans="2:5">
      <c r="B38" s="18" t="s">
        <v>1353</v>
      </c>
      <c r="C38" s="401"/>
    </row>
    <row r="39" spans="2:5">
      <c r="B39" t="s">
        <v>1202</v>
      </c>
      <c r="C39" s="401">
        <v>2550</v>
      </c>
      <c r="E39" t="s">
        <v>1203</v>
      </c>
    </row>
    <row r="40" spans="2:5">
      <c r="B40" s="402" t="s">
        <v>173</v>
      </c>
      <c r="C40" s="403">
        <f>SUM(C39:C39)</f>
        <v>2550</v>
      </c>
    </row>
    <row r="41" spans="2:5">
      <c r="C41" s="401"/>
    </row>
    <row r="42" spans="2:5">
      <c r="B42" s="18" t="s">
        <v>1354</v>
      </c>
      <c r="C42" s="401"/>
    </row>
    <row r="43" spans="2:5">
      <c r="B43" t="s">
        <v>1202</v>
      </c>
      <c r="C43" s="401">
        <v>2550</v>
      </c>
      <c r="E43" t="s">
        <v>1203</v>
      </c>
    </row>
    <row r="44" spans="2:5">
      <c r="B44" t="s">
        <v>1168</v>
      </c>
      <c r="C44" s="401">
        <v>1155</v>
      </c>
      <c r="E44" t="s">
        <v>1204</v>
      </c>
    </row>
    <row r="45" spans="2:5">
      <c r="B45" s="402" t="s">
        <v>173</v>
      </c>
      <c r="C45" s="403">
        <f>SUM(C43:C44)</f>
        <v>3705</v>
      </c>
    </row>
    <row r="46" spans="2:5">
      <c r="C46" s="401"/>
    </row>
    <row r="47" spans="2:5">
      <c r="B47" s="18" t="s">
        <v>1355</v>
      </c>
      <c r="C47" s="401"/>
    </row>
    <row r="48" spans="2:5">
      <c r="B48" t="s">
        <v>1202</v>
      </c>
      <c r="C48" s="401">
        <v>2550</v>
      </c>
      <c r="E48" t="s">
        <v>1203</v>
      </c>
    </row>
    <row r="49" spans="2:5">
      <c r="B49" t="s">
        <v>1168</v>
      </c>
      <c r="C49" s="401">
        <f>+C44</f>
        <v>1155</v>
      </c>
      <c r="E49" t="s">
        <v>1204</v>
      </c>
    </row>
    <row r="50" spans="2:5">
      <c r="B50" t="s">
        <v>1167</v>
      </c>
      <c r="C50" s="401">
        <v>1290</v>
      </c>
    </row>
    <row r="51" spans="2:5">
      <c r="B51" s="402" t="s">
        <v>173</v>
      </c>
      <c r="C51" s="403">
        <f>SUM(C48:C50)</f>
        <v>4995</v>
      </c>
    </row>
    <row r="52" spans="2:5">
      <c r="C52" s="401"/>
    </row>
    <row r="53" spans="2:5">
      <c r="B53" s="18" t="s">
        <v>203</v>
      </c>
      <c r="C53" s="401">
        <v>590</v>
      </c>
    </row>
    <row r="54" spans="2:5">
      <c r="C54" s="401"/>
    </row>
  </sheetData>
  <pageMargins left="0.7" right="0.7" top="0.75" bottom="0.75" header="0.3" footer="0.3"/>
  <pageSetup paperSize="9" scale="72" orientation="portrait" horizontalDpi="300" verticalDpi="30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DAF80-1C40-4BE8-92E2-23007D52FAAA}">
  <sheetPr codeName="Sheet21">
    <tabColor rgb="FFFFFF00"/>
    <pageSetUpPr fitToPage="1"/>
  </sheetPr>
  <dimension ref="A1:R377"/>
  <sheetViews>
    <sheetView topLeftCell="A172" zoomScaleNormal="100" workbookViewId="0">
      <selection activeCell="D214" sqref="D214"/>
    </sheetView>
  </sheetViews>
  <sheetFormatPr defaultColWidth="9.140625" defaultRowHeight="18" customHeight="1"/>
  <cols>
    <col min="1" max="1" width="3.7109375" style="155" customWidth="1"/>
    <col min="2" max="2" width="15" style="40" customWidth="1"/>
    <col min="3" max="3" width="50.7109375" style="40" customWidth="1"/>
    <col min="4" max="4" width="9.5703125" style="135" customWidth="1"/>
    <col min="5" max="6" width="9.5703125" style="40" customWidth="1"/>
    <col min="7" max="7" width="9.140625" style="40"/>
    <col min="8" max="8" width="62.7109375" style="40" customWidth="1"/>
    <col min="9" max="9" width="12.7109375" style="40" customWidth="1"/>
    <col min="10" max="16384" width="9.140625" style="40"/>
  </cols>
  <sheetData>
    <row r="1" spans="2:10" ht="18" customHeight="1" thickBot="1"/>
    <row r="2" spans="2:10" ht="18" customHeight="1">
      <c r="B2" s="136"/>
      <c r="C2" s="137"/>
      <c r="D2" s="138"/>
      <c r="E2" s="137"/>
      <c r="F2" s="139"/>
    </row>
    <row r="3" spans="2:10" ht="18" customHeight="1">
      <c r="B3" s="140"/>
      <c r="C3" s="141"/>
      <c r="D3" s="142"/>
      <c r="E3" s="141"/>
      <c r="F3" s="143"/>
      <c r="G3" s="141"/>
    </row>
    <row r="4" spans="2:10" ht="39" customHeight="1">
      <c r="B4" s="144" t="s">
        <v>270</v>
      </c>
      <c r="C4" s="141"/>
      <c r="D4" s="145"/>
      <c r="E4" s="146"/>
      <c r="F4" s="147"/>
      <c r="G4" s="141"/>
      <c r="H4" s="141"/>
      <c r="I4" s="141"/>
    </row>
    <row r="5" spans="2:10" ht="11.25" customHeight="1">
      <c r="B5" s="148" t="s">
        <v>271</v>
      </c>
      <c r="C5" s="141"/>
      <c r="E5" s="149" t="s">
        <v>272</v>
      </c>
      <c r="F5" s="143"/>
      <c r="G5" s="146"/>
      <c r="H5" s="141"/>
      <c r="I5" s="141"/>
    </row>
    <row r="6" spans="2:10" ht="11.25" customHeight="1">
      <c r="B6" s="148" t="s">
        <v>273</v>
      </c>
      <c r="C6" s="141"/>
      <c r="E6" s="149" t="s">
        <v>274</v>
      </c>
      <c r="F6" s="143"/>
      <c r="G6" s="146"/>
      <c r="H6" s="141"/>
      <c r="I6" s="141"/>
      <c r="J6" s="141"/>
    </row>
    <row r="7" spans="2:10" ht="13.5" customHeight="1">
      <c r="B7" s="148" t="s">
        <v>275</v>
      </c>
      <c r="C7" s="141"/>
      <c r="E7" s="149" t="s">
        <v>276</v>
      </c>
      <c r="F7" s="143"/>
      <c r="G7" s="146"/>
      <c r="H7" s="141"/>
      <c r="I7" s="141"/>
      <c r="J7" s="141"/>
    </row>
    <row r="8" spans="2:10" ht="18" customHeight="1">
      <c r="B8" s="150"/>
      <c r="C8" s="141"/>
      <c r="D8" s="151"/>
      <c r="E8" s="141"/>
      <c r="F8" s="143"/>
      <c r="G8" s="141"/>
      <c r="H8" s="141"/>
      <c r="I8" s="141"/>
      <c r="J8" s="141"/>
    </row>
    <row r="9" spans="2:10" ht="18" customHeight="1">
      <c r="B9" s="152" t="s">
        <v>277</v>
      </c>
      <c r="C9" s="153">
        <f>+C48</f>
        <v>0</v>
      </c>
      <c r="D9" s="151"/>
      <c r="E9" s="141"/>
      <c r="F9" s="143"/>
      <c r="G9" s="141"/>
      <c r="H9" s="141"/>
      <c r="I9" s="141"/>
      <c r="J9" s="141"/>
    </row>
    <row r="10" spans="2:10" ht="18" customHeight="1">
      <c r="B10" s="150"/>
      <c r="C10" s="141"/>
      <c r="D10" s="151"/>
      <c r="E10" s="141"/>
      <c r="F10" s="143"/>
      <c r="G10" s="141"/>
      <c r="H10" s="141"/>
      <c r="I10" s="141"/>
      <c r="J10" s="141"/>
    </row>
    <row r="11" spans="2:10" ht="18" customHeight="1">
      <c r="B11" s="154" t="s">
        <v>278</v>
      </c>
      <c r="C11" s="141"/>
      <c r="D11" s="151"/>
      <c r="E11" s="141"/>
      <c r="F11" s="143"/>
      <c r="G11" s="141"/>
      <c r="H11" s="141"/>
      <c r="I11" s="141"/>
      <c r="J11" s="141"/>
    </row>
    <row r="12" spans="2:10" ht="18" customHeight="1">
      <c r="B12" s="150"/>
      <c r="C12" s="141"/>
      <c r="D12" s="151"/>
      <c r="E12" s="141"/>
      <c r="F12" s="143"/>
      <c r="G12" s="141"/>
      <c r="H12" s="141"/>
      <c r="I12" s="141"/>
      <c r="J12" s="141"/>
    </row>
    <row r="13" spans="2:10" ht="18" customHeight="1">
      <c r="B13" s="150" t="s">
        <v>279</v>
      </c>
      <c r="C13" s="141"/>
      <c r="D13" s="151"/>
      <c r="E13" s="141"/>
      <c r="F13" s="143"/>
      <c r="G13" s="141"/>
      <c r="H13" s="141"/>
      <c r="I13" s="141"/>
      <c r="J13" s="141"/>
    </row>
    <row r="14" spans="2:10" ht="18" customHeight="1">
      <c r="B14" s="150" t="s">
        <v>280</v>
      </c>
      <c r="C14" s="141"/>
      <c r="D14" s="151"/>
      <c r="E14" s="141"/>
      <c r="F14" s="143"/>
      <c r="G14" s="141"/>
      <c r="H14" s="141"/>
      <c r="I14" s="141"/>
      <c r="J14" s="141"/>
    </row>
    <row r="15" spans="2:10" ht="18" customHeight="1">
      <c r="B15" s="150"/>
      <c r="C15" s="141"/>
      <c r="D15" s="151"/>
      <c r="E15" s="141"/>
      <c r="F15" s="143"/>
      <c r="G15" s="141"/>
      <c r="H15" s="141"/>
      <c r="I15" s="141"/>
      <c r="J15" s="141"/>
    </row>
    <row r="16" spans="2:10" ht="18" customHeight="1">
      <c r="B16" s="150" t="s">
        <v>281</v>
      </c>
      <c r="C16" s="141"/>
      <c r="D16" s="151"/>
      <c r="E16" s="141"/>
      <c r="F16" s="143"/>
      <c r="G16" s="141"/>
      <c r="H16" s="141"/>
      <c r="I16" s="141"/>
      <c r="J16" s="141"/>
    </row>
    <row r="17" spans="2:10" ht="18" customHeight="1">
      <c r="B17" s="150">
        <f>+C52</f>
        <v>0</v>
      </c>
      <c r="C17" s="141"/>
      <c r="D17" s="151"/>
      <c r="E17" s="141"/>
      <c r="F17" s="143"/>
      <c r="G17" s="141"/>
      <c r="H17" s="141"/>
      <c r="I17" s="141"/>
      <c r="J17" s="141"/>
    </row>
    <row r="18" spans="2:10" ht="18" customHeight="1">
      <c r="B18" s="150"/>
      <c r="C18" s="141"/>
      <c r="D18" s="151"/>
      <c r="E18" s="141"/>
      <c r="F18" s="143"/>
      <c r="G18" s="141"/>
      <c r="H18" s="141"/>
      <c r="I18" s="141"/>
      <c r="J18" s="141"/>
    </row>
    <row r="19" spans="2:10" ht="18" customHeight="1">
      <c r="B19" s="150" t="s">
        <v>282</v>
      </c>
      <c r="C19" s="141"/>
      <c r="D19" s="151"/>
      <c r="E19" s="141"/>
      <c r="F19" s="143"/>
      <c r="G19" s="141"/>
      <c r="H19" s="141"/>
      <c r="I19" s="141"/>
      <c r="J19" s="141"/>
    </row>
    <row r="20" spans="2:10" ht="18" customHeight="1">
      <c r="B20" s="150" t="s">
        <v>283</v>
      </c>
      <c r="C20" s="141"/>
      <c r="D20" s="151"/>
      <c r="E20" s="141"/>
      <c r="F20" s="143"/>
      <c r="G20" s="141"/>
      <c r="H20" s="141"/>
      <c r="I20" s="141"/>
      <c r="J20" s="141"/>
    </row>
    <row r="21" spans="2:10" ht="18" customHeight="1">
      <c r="B21" s="150"/>
      <c r="C21" s="141"/>
      <c r="D21" s="151"/>
      <c r="E21" s="141"/>
      <c r="F21" s="143"/>
      <c r="G21" s="141"/>
      <c r="H21" s="141"/>
      <c r="I21" s="141"/>
      <c r="J21" s="141"/>
    </row>
    <row r="22" spans="2:10" ht="18" customHeight="1">
      <c r="B22" s="150" t="s">
        <v>284</v>
      </c>
      <c r="C22" s="141"/>
      <c r="D22" s="151"/>
      <c r="E22" s="141"/>
      <c r="F22" s="143"/>
      <c r="G22" s="141"/>
      <c r="H22" s="141"/>
      <c r="I22" s="141"/>
      <c r="J22" s="141"/>
    </row>
    <row r="23" spans="2:10" ht="18" customHeight="1">
      <c r="B23" s="150" t="s">
        <v>285</v>
      </c>
      <c r="C23" s="141"/>
      <c r="D23" s="151"/>
      <c r="E23" s="141"/>
      <c r="F23" s="143"/>
      <c r="G23" s="141"/>
      <c r="H23" s="141"/>
      <c r="I23" s="141"/>
      <c r="J23" s="141"/>
    </row>
    <row r="24" spans="2:10" ht="18" customHeight="1">
      <c r="B24" s="150" t="s">
        <v>286</v>
      </c>
      <c r="C24" s="141"/>
      <c r="D24" s="151"/>
      <c r="E24" s="141"/>
      <c r="F24" s="143"/>
      <c r="G24" s="141"/>
      <c r="H24" s="141"/>
      <c r="I24" s="141"/>
      <c r="J24" s="141"/>
    </row>
    <row r="25" spans="2:10" ht="18" customHeight="1">
      <c r="B25" s="150" t="s">
        <v>287</v>
      </c>
      <c r="C25" s="141"/>
      <c r="D25" s="151"/>
      <c r="E25" s="141"/>
      <c r="F25" s="143"/>
      <c r="G25" s="141"/>
      <c r="H25" s="141"/>
      <c r="I25" s="141"/>
      <c r="J25" s="141"/>
    </row>
    <row r="26" spans="2:10" ht="18" customHeight="1">
      <c r="B26" s="150"/>
      <c r="C26" s="141"/>
      <c r="D26" s="151"/>
      <c r="E26" s="141"/>
      <c r="F26" s="143"/>
      <c r="G26" s="141"/>
      <c r="H26" s="141"/>
      <c r="I26" s="141"/>
      <c r="J26" s="141"/>
    </row>
    <row r="27" spans="2:10" ht="18" customHeight="1">
      <c r="B27" s="150" t="s">
        <v>288</v>
      </c>
      <c r="C27" s="141"/>
      <c r="D27" s="151"/>
      <c r="E27" s="141"/>
      <c r="F27" s="143"/>
      <c r="G27" s="141"/>
      <c r="H27" s="141"/>
      <c r="I27" s="141"/>
      <c r="J27" s="141"/>
    </row>
    <row r="28" spans="2:10" ht="18" customHeight="1">
      <c r="B28" s="150" t="s">
        <v>289</v>
      </c>
      <c r="C28" s="141"/>
      <c r="D28" s="151"/>
      <c r="E28" s="141"/>
      <c r="F28" s="143"/>
      <c r="G28" s="141"/>
      <c r="H28" s="141"/>
      <c r="I28" s="141"/>
      <c r="J28" s="141"/>
    </row>
    <row r="29" spans="2:10" ht="18" customHeight="1">
      <c r="B29" s="150" t="s">
        <v>290</v>
      </c>
      <c r="C29" s="141"/>
      <c r="D29" s="151"/>
      <c r="E29" s="141"/>
      <c r="F29" s="143"/>
      <c r="G29" s="141"/>
      <c r="H29" s="141"/>
      <c r="I29" s="141"/>
      <c r="J29" s="141"/>
    </row>
    <row r="30" spans="2:10" ht="18" customHeight="1">
      <c r="B30" s="150" t="s">
        <v>291</v>
      </c>
      <c r="C30" s="141"/>
      <c r="D30" s="151"/>
      <c r="E30" s="141"/>
      <c r="F30" s="143"/>
      <c r="G30" s="141"/>
      <c r="H30" s="141"/>
      <c r="I30" s="141"/>
      <c r="J30" s="141"/>
    </row>
    <row r="31" spans="2:10" ht="18" customHeight="1">
      <c r="B31" s="150"/>
      <c r="C31" s="141"/>
      <c r="D31" s="151"/>
      <c r="E31" s="141"/>
      <c r="F31" s="143"/>
      <c r="G31" s="141"/>
      <c r="H31" s="141"/>
      <c r="I31" s="141"/>
      <c r="J31" s="141"/>
    </row>
    <row r="32" spans="2:10" ht="18" customHeight="1">
      <c r="B32" s="150" t="s">
        <v>292</v>
      </c>
      <c r="C32" s="141"/>
      <c r="D32" s="151"/>
      <c r="E32" s="141"/>
      <c r="F32" s="143"/>
      <c r="G32" s="141"/>
      <c r="H32" s="141"/>
      <c r="I32" s="141"/>
      <c r="J32" s="141"/>
    </row>
    <row r="33" spans="1:10" ht="18" customHeight="1">
      <c r="B33" s="156" t="s">
        <v>293</v>
      </c>
      <c r="C33" s="141"/>
      <c r="D33" s="151"/>
      <c r="E33" s="141"/>
      <c r="F33" s="143"/>
      <c r="G33" s="141"/>
      <c r="H33" s="141"/>
      <c r="I33" s="141"/>
      <c r="J33" s="141"/>
    </row>
    <row r="34" spans="1:10" ht="18" customHeight="1">
      <c r="B34" s="156" t="s">
        <v>294</v>
      </c>
      <c r="C34" s="141"/>
      <c r="D34" s="151"/>
      <c r="E34" s="141"/>
      <c r="F34" s="143"/>
      <c r="G34" s="141"/>
      <c r="H34" s="141"/>
      <c r="I34" s="141"/>
      <c r="J34" s="141"/>
    </row>
    <row r="35" spans="1:10" ht="18" customHeight="1">
      <c r="B35" s="156" t="s">
        <v>295</v>
      </c>
      <c r="C35" s="141"/>
      <c r="D35" s="151"/>
      <c r="E35" s="141"/>
      <c r="F35" s="143"/>
      <c r="G35" s="141"/>
      <c r="H35" s="141"/>
      <c r="I35" s="141"/>
      <c r="J35" s="141"/>
    </row>
    <row r="36" spans="1:10" ht="18" customHeight="1">
      <c r="B36" s="150"/>
      <c r="C36" s="141"/>
      <c r="D36" s="151"/>
      <c r="E36" s="141"/>
      <c r="F36" s="143"/>
      <c r="G36" s="141"/>
      <c r="H36" s="141"/>
      <c r="I36" s="141"/>
      <c r="J36" s="141"/>
    </row>
    <row r="37" spans="1:10" ht="18" customHeight="1">
      <c r="B37" s="150" t="s">
        <v>296</v>
      </c>
      <c r="C37" s="141"/>
      <c r="D37" s="151"/>
      <c r="E37" s="141"/>
      <c r="F37" s="143"/>
      <c r="G37" s="141"/>
      <c r="H37" s="141"/>
      <c r="I37" s="141"/>
      <c r="J37" s="141"/>
    </row>
    <row r="38" spans="1:10" ht="18" customHeight="1">
      <c r="B38" s="150" t="s">
        <v>297</v>
      </c>
      <c r="C38" s="141"/>
      <c r="D38" s="151"/>
      <c r="E38" s="141"/>
      <c r="F38" s="143"/>
      <c r="G38" s="141"/>
      <c r="H38" s="141"/>
      <c r="I38" s="141"/>
      <c r="J38" s="141"/>
    </row>
    <row r="39" spans="1:10" ht="18" customHeight="1">
      <c r="B39" s="150"/>
      <c r="C39" s="141"/>
      <c r="D39" s="151"/>
      <c r="E39" s="141"/>
      <c r="F39" s="143"/>
      <c r="G39" s="141"/>
      <c r="H39" s="141"/>
      <c r="I39" s="141"/>
      <c r="J39" s="141"/>
    </row>
    <row r="40" spans="1:10" ht="18" customHeight="1">
      <c r="B40" s="150" t="s">
        <v>298</v>
      </c>
      <c r="C40" s="141"/>
      <c r="D40" s="151"/>
      <c r="E40" s="141"/>
      <c r="F40" s="143"/>
      <c r="G40" s="141"/>
      <c r="H40" s="141"/>
      <c r="I40" s="141"/>
      <c r="J40" s="141"/>
    </row>
    <row r="41" spans="1:10" ht="18" customHeight="1">
      <c r="B41" s="150"/>
      <c r="C41" s="141"/>
      <c r="D41" s="151"/>
      <c r="E41" s="141"/>
      <c r="F41" s="143"/>
      <c r="G41" s="141"/>
      <c r="H41" s="141"/>
      <c r="I41" s="141"/>
      <c r="J41" s="141"/>
    </row>
    <row r="42" spans="1:10" ht="18" customHeight="1">
      <c r="B42" s="150"/>
      <c r="C42" s="141"/>
      <c r="D42" s="151"/>
      <c r="E42" s="141"/>
      <c r="F42" s="143"/>
      <c r="G42" s="141"/>
      <c r="H42" s="141"/>
      <c r="I42" s="141"/>
      <c r="J42" s="141"/>
    </row>
    <row r="43" spans="1:10" ht="18" customHeight="1">
      <c r="B43" s="154"/>
      <c r="C43" s="141"/>
      <c r="D43" s="151"/>
      <c r="E43" s="141"/>
      <c r="F43" s="143"/>
      <c r="G43" s="141"/>
      <c r="H43" s="141"/>
      <c r="I43" s="141"/>
      <c r="J43" s="141"/>
    </row>
    <row r="44" spans="1:10" ht="18" customHeight="1" thickBot="1">
      <c r="B44" s="157" t="s">
        <v>299</v>
      </c>
      <c r="C44" s="158"/>
      <c r="D44" s="159"/>
      <c r="E44" s="158"/>
      <c r="F44" s="160"/>
      <c r="G44" s="141"/>
      <c r="H44" s="141"/>
      <c r="I44" s="141"/>
      <c r="J44" s="141"/>
    </row>
    <row r="46" spans="1:10" ht="22.5" customHeight="1">
      <c r="I46" s="161"/>
    </row>
    <row r="47" spans="1:10" ht="24.95" customHeight="1" thickBot="1">
      <c r="A47" s="162"/>
      <c r="B47" s="753" t="s">
        <v>300</v>
      </c>
      <c r="C47" s="753"/>
      <c r="D47" s="163"/>
      <c r="E47" s="162"/>
      <c r="F47" s="162"/>
    </row>
    <row r="48" spans="1:10" ht="18" customHeight="1">
      <c r="A48" s="164"/>
      <c r="B48" s="187" t="s">
        <v>301</v>
      </c>
      <c r="C48" s="755"/>
      <c r="D48" s="755"/>
      <c r="E48" s="755"/>
      <c r="F48" s="756"/>
      <c r="G48" s="166"/>
    </row>
    <row r="49" spans="1:10" ht="18" customHeight="1">
      <c r="A49" s="164"/>
      <c r="B49" s="750" t="s">
        <v>302</v>
      </c>
      <c r="C49" s="757"/>
      <c r="D49" s="757"/>
      <c r="E49" s="757"/>
      <c r="F49" s="758"/>
      <c r="H49" s="167"/>
      <c r="I49" s="168"/>
      <c r="J49" s="168"/>
    </row>
    <row r="50" spans="1:10" ht="18" customHeight="1">
      <c r="A50" s="164"/>
      <c r="B50" s="750" t="s">
        <v>303</v>
      </c>
      <c r="C50" s="757"/>
      <c r="D50" s="757"/>
      <c r="E50" s="757"/>
      <c r="F50" s="758"/>
      <c r="H50" s="167"/>
      <c r="I50" s="168"/>
      <c r="J50" s="168"/>
    </row>
    <row r="51" spans="1:10" ht="18" customHeight="1">
      <c r="A51" s="164"/>
      <c r="B51" s="750" t="s">
        <v>304</v>
      </c>
      <c r="C51" s="757"/>
      <c r="D51" s="757"/>
      <c r="E51" s="757"/>
      <c r="F51" s="758"/>
      <c r="H51" s="167"/>
      <c r="I51" s="168"/>
      <c r="J51" s="168"/>
    </row>
    <row r="52" spans="1:10" ht="18" customHeight="1" thickBot="1">
      <c r="A52" s="164"/>
      <c r="B52" s="169" t="s">
        <v>305</v>
      </c>
      <c r="C52" s="759"/>
      <c r="D52" s="759"/>
      <c r="E52" s="759"/>
      <c r="F52" s="760"/>
    </row>
    <row r="53" spans="1:10" ht="18" customHeight="1" thickBot="1">
      <c r="A53" s="170"/>
      <c r="B53" s="167"/>
      <c r="C53" s="167"/>
      <c r="D53" s="167"/>
      <c r="E53" s="167"/>
      <c r="F53" s="167"/>
    </row>
    <row r="54" spans="1:10" s="172" customFormat="1" ht="18" customHeight="1">
      <c r="A54" s="171"/>
      <c r="B54" s="718" t="s">
        <v>306</v>
      </c>
      <c r="C54" s="719"/>
      <c r="D54" s="719"/>
      <c r="E54" s="719"/>
      <c r="F54" s="720"/>
    </row>
    <row r="55" spans="1:10" s="172" customFormat="1" ht="18" customHeight="1">
      <c r="A55" s="171"/>
      <c r="B55" s="407" t="s">
        <v>307</v>
      </c>
      <c r="C55" s="174"/>
      <c r="D55" s="702"/>
      <c r="E55" s="703"/>
      <c r="F55" s="704"/>
    </row>
    <row r="56" spans="1:10" ht="18" customHeight="1">
      <c r="A56" s="164"/>
      <c r="B56" s="710" t="s">
        <v>308</v>
      </c>
      <c r="C56" s="712"/>
      <c r="D56" s="702" t="s">
        <v>309</v>
      </c>
      <c r="E56" s="703"/>
      <c r="F56" s="704"/>
    </row>
    <row r="57" spans="1:10" ht="18" customHeight="1">
      <c r="A57" s="164"/>
      <c r="B57" s="710" t="s">
        <v>310</v>
      </c>
      <c r="C57" s="712"/>
      <c r="D57" s="702" t="s">
        <v>309</v>
      </c>
      <c r="E57" s="703"/>
      <c r="F57" s="704"/>
    </row>
    <row r="58" spans="1:10" ht="18" customHeight="1">
      <c r="A58" s="164"/>
      <c r="B58" s="710" t="s">
        <v>311</v>
      </c>
      <c r="C58" s="712"/>
      <c r="D58" s="702" t="s">
        <v>309</v>
      </c>
      <c r="E58" s="703"/>
      <c r="F58" s="704"/>
    </row>
    <row r="59" spans="1:10" ht="18" customHeight="1">
      <c r="A59" s="164"/>
      <c r="B59" s="710" t="s">
        <v>312</v>
      </c>
      <c r="C59" s="712"/>
      <c r="D59" s="702" t="s">
        <v>309</v>
      </c>
      <c r="E59" s="703"/>
      <c r="F59" s="704"/>
    </row>
    <row r="60" spans="1:10" ht="18" customHeight="1">
      <c r="A60" s="164"/>
      <c r="B60" s="710" t="s">
        <v>313</v>
      </c>
      <c r="C60" s="712"/>
      <c r="D60" s="702" t="s">
        <v>309</v>
      </c>
      <c r="E60" s="703"/>
      <c r="F60" s="704"/>
      <c r="I60" s="135"/>
    </row>
    <row r="61" spans="1:10" ht="18" customHeight="1">
      <c r="A61" s="164"/>
      <c r="B61" s="710" t="s">
        <v>314</v>
      </c>
      <c r="C61" s="712"/>
      <c r="D61" s="702" t="s">
        <v>309</v>
      </c>
      <c r="E61" s="703"/>
      <c r="F61" s="704"/>
    </row>
    <row r="62" spans="1:10" ht="18" customHeight="1">
      <c r="B62" s="710" t="s">
        <v>315</v>
      </c>
      <c r="C62" s="712"/>
      <c r="D62" s="702" t="s">
        <v>309</v>
      </c>
      <c r="E62" s="703"/>
      <c r="F62" s="704"/>
    </row>
    <row r="63" spans="1:10" ht="18" customHeight="1">
      <c r="B63" s="407" t="s">
        <v>316</v>
      </c>
      <c r="C63" s="174"/>
      <c r="D63" s="702"/>
      <c r="E63" s="703"/>
      <c r="F63" s="704"/>
    </row>
    <row r="64" spans="1:10" ht="18" customHeight="1">
      <c r="B64" s="710" t="s">
        <v>317</v>
      </c>
      <c r="C64" s="712"/>
      <c r="D64" s="702" t="s">
        <v>309</v>
      </c>
      <c r="E64" s="703"/>
      <c r="F64" s="704"/>
    </row>
    <row r="65" spans="2:7" ht="18" customHeight="1">
      <c r="B65" s="710" t="s">
        <v>318</v>
      </c>
      <c r="C65" s="712"/>
      <c r="D65" s="702" t="s">
        <v>309</v>
      </c>
      <c r="E65" s="703"/>
      <c r="F65" s="704"/>
    </row>
    <row r="66" spans="2:7" ht="18" customHeight="1">
      <c r="B66" s="710" t="s">
        <v>319</v>
      </c>
      <c r="C66" s="712"/>
      <c r="D66" s="702" t="s">
        <v>309</v>
      </c>
      <c r="E66" s="703"/>
      <c r="F66" s="704"/>
      <c r="G66" s="175"/>
    </row>
    <row r="67" spans="2:7" ht="18" customHeight="1">
      <c r="B67" s="710" t="s">
        <v>320</v>
      </c>
      <c r="C67" s="712"/>
      <c r="D67" s="702" t="s">
        <v>309</v>
      </c>
      <c r="E67" s="703"/>
      <c r="F67" s="704"/>
    </row>
    <row r="68" spans="2:7" ht="18" customHeight="1">
      <c r="B68" s="710" t="s">
        <v>321</v>
      </c>
      <c r="C68" s="712"/>
      <c r="D68" s="702"/>
      <c r="E68" s="703"/>
      <c r="F68" s="704"/>
    </row>
    <row r="69" spans="2:7" ht="18" customHeight="1">
      <c r="B69" s="407" t="s">
        <v>322</v>
      </c>
      <c r="C69" s="174"/>
      <c r="D69" s="702"/>
      <c r="E69" s="703"/>
      <c r="F69" s="704"/>
    </row>
    <row r="70" spans="2:7" ht="18" customHeight="1">
      <c r="B70" s="710" t="s">
        <v>323</v>
      </c>
      <c r="C70" s="712"/>
      <c r="D70" s="702" t="s">
        <v>309</v>
      </c>
      <c r="E70" s="703"/>
      <c r="F70" s="704"/>
    </row>
    <row r="71" spans="2:7" ht="24.75" customHeight="1">
      <c r="B71" s="710" t="s">
        <v>324</v>
      </c>
      <c r="C71" s="712"/>
      <c r="D71" s="702" t="s">
        <v>309</v>
      </c>
      <c r="E71" s="703"/>
      <c r="F71" s="704"/>
    </row>
    <row r="72" spans="2:7" ht="18" customHeight="1">
      <c r="B72" s="710" t="s">
        <v>325</v>
      </c>
      <c r="C72" s="712"/>
      <c r="D72" s="702" t="s">
        <v>309</v>
      </c>
      <c r="E72" s="703"/>
      <c r="F72" s="704"/>
    </row>
    <row r="73" spans="2:7" ht="18" customHeight="1">
      <c r="B73" s="407" t="s">
        <v>326</v>
      </c>
      <c r="C73" s="174"/>
      <c r="D73" s="702"/>
      <c r="E73" s="703"/>
      <c r="F73" s="704"/>
    </row>
    <row r="74" spans="2:7" ht="18" customHeight="1">
      <c r="B74" s="705" t="s">
        <v>327</v>
      </c>
      <c r="C74" s="706"/>
      <c r="D74" s="702" t="s">
        <v>309</v>
      </c>
      <c r="E74" s="703"/>
      <c r="F74" s="704"/>
    </row>
    <row r="75" spans="2:7" ht="18" customHeight="1">
      <c r="B75" s="407" t="s">
        <v>328</v>
      </c>
      <c r="C75" s="174"/>
      <c r="D75" s="702"/>
      <c r="E75" s="703"/>
      <c r="F75" s="704"/>
    </row>
    <row r="76" spans="2:7" ht="18" customHeight="1">
      <c r="B76" s="710" t="s">
        <v>329</v>
      </c>
      <c r="C76" s="712"/>
      <c r="D76" s="702" t="s">
        <v>309</v>
      </c>
      <c r="E76" s="703"/>
      <c r="F76" s="704"/>
    </row>
    <row r="77" spans="2:7" ht="18" customHeight="1">
      <c r="B77" s="710" t="s">
        <v>330</v>
      </c>
      <c r="C77" s="712"/>
      <c r="D77" s="702" t="s">
        <v>309</v>
      </c>
      <c r="E77" s="703"/>
      <c r="F77" s="704"/>
    </row>
    <row r="78" spans="2:7" ht="18" customHeight="1">
      <c r="B78" s="710" t="s">
        <v>331</v>
      </c>
      <c r="C78" s="712"/>
      <c r="D78" s="702" t="s">
        <v>309</v>
      </c>
      <c r="E78" s="703"/>
      <c r="F78" s="704"/>
    </row>
    <row r="79" spans="2:7" ht="18" customHeight="1">
      <c r="B79" s="407" t="s">
        <v>332</v>
      </c>
      <c r="C79" s="174"/>
      <c r="D79" s="702"/>
      <c r="E79" s="703"/>
      <c r="F79" s="704"/>
    </row>
    <row r="80" spans="2:7" ht="18" customHeight="1">
      <c r="B80" s="710" t="s">
        <v>333</v>
      </c>
      <c r="C80" s="711"/>
      <c r="D80" s="702" t="s">
        <v>309</v>
      </c>
      <c r="E80" s="703"/>
      <c r="F80" s="704"/>
    </row>
    <row r="81" spans="2:6" ht="18" customHeight="1">
      <c r="B81" s="407" t="s">
        <v>334</v>
      </c>
      <c r="C81" s="174"/>
      <c r="D81" s="702"/>
      <c r="E81" s="703"/>
      <c r="F81" s="704"/>
    </row>
    <row r="82" spans="2:6" ht="18" customHeight="1">
      <c r="B82" s="710" t="s">
        <v>335</v>
      </c>
      <c r="C82" s="711"/>
      <c r="D82" s="702" t="s">
        <v>309</v>
      </c>
      <c r="E82" s="703"/>
      <c r="F82" s="704"/>
    </row>
    <row r="83" spans="2:6" ht="27.75" customHeight="1">
      <c r="B83" s="705" t="s">
        <v>336</v>
      </c>
      <c r="C83" s="706"/>
      <c r="D83" s="702" t="s">
        <v>309</v>
      </c>
      <c r="E83" s="703"/>
      <c r="F83" s="704"/>
    </row>
    <row r="84" spans="2:6" ht="18" customHeight="1">
      <c r="B84" s="407" t="s">
        <v>337</v>
      </c>
      <c r="C84" s="174"/>
      <c r="D84" s="702"/>
      <c r="E84" s="703"/>
      <c r="F84" s="704"/>
    </row>
    <row r="85" spans="2:6" ht="18" customHeight="1">
      <c r="B85" s="705" t="s">
        <v>338</v>
      </c>
      <c r="C85" s="706"/>
      <c r="D85" s="702" t="s">
        <v>309</v>
      </c>
      <c r="E85" s="703"/>
      <c r="F85" s="704"/>
    </row>
    <row r="86" spans="2:6" ht="26.25" customHeight="1">
      <c r="B86" s="705" t="s">
        <v>339</v>
      </c>
      <c r="C86" s="706"/>
      <c r="D86" s="702" t="s">
        <v>309</v>
      </c>
      <c r="E86" s="703"/>
      <c r="F86" s="704"/>
    </row>
    <row r="87" spans="2:6" ht="27" customHeight="1">
      <c r="B87" s="705" t="s">
        <v>340</v>
      </c>
      <c r="C87" s="706"/>
      <c r="D87" s="702" t="s">
        <v>309</v>
      </c>
      <c r="E87" s="703"/>
      <c r="F87" s="704"/>
    </row>
    <row r="88" spans="2:6" ht="18" customHeight="1">
      <c r="B88" s="407" t="s">
        <v>341</v>
      </c>
      <c r="C88" s="174"/>
      <c r="D88" s="702"/>
      <c r="E88" s="703"/>
      <c r="F88" s="704"/>
    </row>
    <row r="89" spans="2:6" ht="18" customHeight="1">
      <c r="B89" s="705" t="s">
        <v>342</v>
      </c>
      <c r="C89" s="706"/>
      <c r="D89" s="702" t="s">
        <v>309</v>
      </c>
      <c r="E89" s="703"/>
      <c r="F89" s="704"/>
    </row>
    <row r="90" spans="2:6" ht="27" customHeight="1">
      <c r="B90" s="705" t="s">
        <v>343</v>
      </c>
      <c r="C90" s="706"/>
      <c r="D90" s="702" t="s">
        <v>309</v>
      </c>
      <c r="E90" s="703"/>
      <c r="F90" s="704"/>
    </row>
    <row r="91" spans="2:6" ht="18" customHeight="1">
      <c r="B91" s="407" t="s">
        <v>344</v>
      </c>
      <c r="C91" s="174"/>
      <c r="D91" s="702"/>
      <c r="E91" s="703"/>
      <c r="F91" s="704"/>
    </row>
    <row r="92" spans="2:6" ht="27" customHeight="1">
      <c r="B92" s="705" t="s">
        <v>345</v>
      </c>
      <c r="C92" s="706"/>
      <c r="D92" s="702" t="s">
        <v>309</v>
      </c>
      <c r="E92" s="703"/>
      <c r="F92" s="704"/>
    </row>
    <row r="93" spans="2:6" ht="27" customHeight="1">
      <c r="B93" s="705" t="s">
        <v>346</v>
      </c>
      <c r="C93" s="706"/>
      <c r="D93" s="702" t="s">
        <v>309</v>
      </c>
      <c r="E93" s="703"/>
      <c r="F93" s="704"/>
    </row>
    <row r="94" spans="2:6" ht="18" customHeight="1">
      <c r="B94" s="705" t="s">
        <v>347</v>
      </c>
      <c r="C94" s="709"/>
      <c r="D94" s="702" t="s">
        <v>309</v>
      </c>
      <c r="E94" s="703"/>
      <c r="F94" s="704"/>
    </row>
    <row r="95" spans="2:6" ht="18" customHeight="1">
      <c r="B95" s="407" t="s">
        <v>348</v>
      </c>
      <c r="C95" s="174"/>
      <c r="D95" s="702"/>
      <c r="E95" s="703"/>
      <c r="F95" s="704"/>
    </row>
    <row r="96" spans="2:6" ht="18" customHeight="1">
      <c r="B96" s="705" t="s">
        <v>349</v>
      </c>
      <c r="C96" s="706"/>
      <c r="D96" s="702" t="s">
        <v>309</v>
      </c>
      <c r="E96" s="703"/>
      <c r="F96" s="704"/>
    </row>
    <row r="97" spans="2:6" ht="18" customHeight="1">
      <c r="B97" s="705" t="s">
        <v>350</v>
      </c>
      <c r="C97" s="706"/>
      <c r="D97" s="702" t="s">
        <v>309</v>
      </c>
      <c r="E97" s="703"/>
      <c r="F97" s="704"/>
    </row>
    <row r="98" spans="2:6" ht="18" customHeight="1">
      <c r="B98" s="705" t="s">
        <v>351</v>
      </c>
      <c r="C98" s="706"/>
      <c r="D98" s="702" t="s">
        <v>309</v>
      </c>
      <c r="E98" s="703"/>
      <c r="F98" s="704"/>
    </row>
    <row r="99" spans="2:6" ht="18" customHeight="1">
      <c r="B99" s="407" t="s">
        <v>352</v>
      </c>
      <c r="C99" s="176"/>
      <c r="D99" s="702"/>
      <c r="E99" s="703"/>
      <c r="F99" s="704"/>
    </row>
    <row r="100" spans="2:6" ht="18" customHeight="1">
      <c r="B100" s="705" t="s">
        <v>353</v>
      </c>
      <c r="C100" s="706"/>
      <c r="D100" s="702" t="s">
        <v>309</v>
      </c>
      <c r="E100" s="703"/>
      <c r="F100" s="704"/>
    </row>
    <row r="101" spans="2:6" ht="18" customHeight="1">
      <c r="B101" s="705" t="s">
        <v>354</v>
      </c>
      <c r="C101" s="706"/>
      <c r="D101" s="702" t="s">
        <v>309</v>
      </c>
      <c r="E101" s="703"/>
      <c r="F101" s="704"/>
    </row>
    <row r="102" spans="2:6" ht="27" customHeight="1">
      <c r="B102" s="705" t="s">
        <v>355</v>
      </c>
      <c r="C102" s="706"/>
      <c r="D102" s="702" t="s">
        <v>309</v>
      </c>
      <c r="E102" s="703"/>
      <c r="F102" s="704"/>
    </row>
    <row r="103" spans="2:6" ht="18" customHeight="1">
      <c r="B103" s="705" t="s">
        <v>356</v>
      </c>
      <c r="C103" s="706"/>
      <c r="D103" s="702" t="s">
        <v>309</v>
      </c>
      <c r="E103" s="703"/>
      <c r="F103" s="704"/>
    </row>
    <row r="104" spans="2:6" ht="18" customHeight="1">
      <c r="B104" s="407" t="s">
        <v>357</v>
      </c>
      <c r="C104" s="174"/>
      <c r="D104" s="702"/>
      <c r="E104" s="703"/>
      <c r="F104" s="704"/>
    </row>
    <row r="105" spans="2:6" ht="18" customHeight="1">
      <c r="B105" s="705" t="s">
        <v>358</v>
      </c>
      <c r="C105" s="706"/>
      <c r="D105" s="702" t="s">
        <v>309</v>
      </c>
      <c r="E105" s="703"/>
      <c r="F105" s="704"/>
    </row>
    <row r="106" spans="2:6" ht="18" customHeight="1">
      <c r="B106" s="705" t="s">
        <v>359</v>
      </c>
      <c r="C106" s="706"/>
      <c r="D106" s="702" t="s">
        <v>309</v>
      </c>
      <c r="E106" s="703"/>
      <c r="F106" s="704"/>
    </row>
    <row r="107" spans="2:6" ht="18" customHeight="1">
      <c r="B107" s="705" t="s">
        <v>360</v>
      </c>
      <c r="C107" s="706"/>
      <c r="D107" s="702" t="s">
        <v>309</v>
      </c>
      <c r="E107" s="703"/>
      <c r="F107" s="704"/>
    </row>
    <row r="108" spans="2:6" ht="18" customHeight="1">
      <c r="B108" s="407" t="s">
        <v>361</v>
      </c>
      <c r="C108" s="174"/>
      <c r="D108" s="702"/>
      <c r="E108" s="703"/>
      <c r="F108" s="704"/>
    </row>
    <row r="109" spans="2:6" ht="18" customHeight="1">
      <c r="B109" s="705" t="s">
        <v>362</v>
      </c>
      <c r="C109" s="706"/>
      <c r="D109" s="702" t="s">
        <v>309</v>
      </c>
      <c r="E109" s="703"/>
      <c r="F109" s="704"/>
    </row>
    <row r="110" spans="2:6" ht="18" customHeight="1">
      <c r="B110" s="705" t="s">
        <v>363</v>
      </c>
      <c r="C110" s="706"/>
      <c r="D110" s="702" t="s">
        <v>309</v>
      </c>
      <c r="E110" s="703"/>
      <c r="F110" s="704"/>
    </row>
    <row r="111" spans="2:6" ht="18" customHeight="1">
      <c r="B111" s="705" t="s">
        <v>364</v>
      </c>
      <c r="C111" s="706"/>
      <c r="D111" s="702" t="s">
        <v>309</v>
      </c>
      <c r="E111" s="703"/>
      <c r="F111" s="704"/>
    </row>
    <row r="112" spans="2:6" ht="18" customHeight="1">
      <c r="B112" s="705" t="s">
        <v>365</v>
      </c>
      <c r="C112" s="706"/>
      <c r="D112" s="702" t="s">
        <v>309</v>
      </c>
      <c r="E112" s="703"/>
      <c r="F112" s="704"/>
    </row>
    <row r="113" spans="2:6" ht="18" customHeight="1">
      <c r="B113" s="407" t="s">
        <v>366</v>
      </c>
      <c r="C113" s="177"/>
      <c r="D113" s="702"/>
      <c r="E113" s="703"/>
      <c r="F113" s="704"/>
    </row>
    <row r="114" spans="2:6" ht="18" customHeight="1">
      <c r="B114" s="705" t="s">
        <v>367</v>
      </c>
      <c r="C114" s="706"/>
      <c r="D114" s="702" t="s">
        <v>309</v>
      </c>
      <c r="E114" s="703"/>
      <c r="F114" s="704"/>
    </row>
    <row r="115" spans="2:6" ht="18" customHeight="1">
      <c r="B115" s="705" t="s">
        <v>368</v>
      </c>
      <c r="C115" s="706"/>
      <c r="D115" s="702" t="s">
        <v>309</v>
      </c>
      <c r="E115" s="703"/>
      <c r="F115" s="704"/>
    </row>
    <row r="116" spans="2:6" ht="18" customHeight="1">
      <c r="B116" s="705" t="s">
        <v>369</v>
      </c>
      <c r="C116" s="706"/>
      <c r="D116" s="702" t="s">
        <v>309</v>
      </c>
      <c r="E116" s="703"/>
      <c r="F116" s="704"/>
    </row>
    <row r="117" spans="2:6" ht="18" customHeight="1">
      <c r="B117" s="705" t="s">
        <v>370</v>
      </c>
      <c r="C117" s="706"/>
      <c r="D117" s="702" t="s">
        <v>309</v>
      </c>
      <c r="E117" s="703"/>
      <c r="F117" s="704"/>
    </row>
    <row r="118" spans="2:6" ht="27" customHeight="1">
      <c r="B118" s="705" t="s">
        <v>371</v>
      </c>
      <c r="C118" s="706"/>
      <c r="D118" s="702" t="s">
        <v>309</v>
      </c>
      <c r="E118" s="703"/>
      <c r="F118" s="704"/>
    </row>
    <row r="119" spans="2:6" ht="18" customHeight="1">
      <c r="B119" s="705" t="s">
        <v>372</v>
      </c>
      <c r="C119" s="706"/>
      <c r="D119" s="702" t="s">
        <v>309</v>
      </c>
      <c r="E119" s="703"/>
      <c r="F119" s="704"/>
    </row>
    <row r="120" spans="2:6" ht="18" customHeight="1">
      <c r="B120" s="705" t="s">
        <v>373</v>
      </c>
      <c r="C120" s="706"/>
      <c r="D120" s="702" t="s">
        <v>309</v>
      </c>
      <c r="E120" s="703"/>
      <c r="F120" s="704"/>
    </row>
    <row r="121" spans="2:6" ht="18" customHeight="1">
      <c r="B121" s="705" t="s">
        <v>374</v>
      </c>
      <c r="C121" s="706"/>
      <c r="D121" s="702" t="s">
        <v>309</v>
      </c>
      <c r="E121" s="703"/>
      <c r="F121" s="704"/>
    </row>
    <row r="122" spans="2:6" ht="18" customHeight="1">
      <c r="B122" s="705" t="s">
        <v>375</v>
      </c>
      <c r="C122" s="706"/>
      <c r="D122" s="702" t="s">
        <v>309</v>
      </c>
      <c r="E122" s="703"/>
      <c r="F122" s="704"/>
    </row>
    <row r="123" spans="2:6" ht="18" customHeight="1">
      <c r="B123" s="705" t="s">
        <v>376</v>
      </c>
      <c r="C123" s="706"/>
      <c r="D123" s="702" t="s">
        <v>309</v>
      </c>
      <c r="E123" s="703"/>
      <c r="F123" s="704"/>
    </row>
    <row r="124" spans="2:6" ht="18" customHeight="1">
      <c r="B124" s="407" t="s">
        <v>377</v>
      </c>
      <c r="C124" s="177"/>
      <c r="D124" s="702"/>
      <c r="E124" s="703"/>
      <c r="F124" s="704"/>
    </row>
    <row r="125" spans="2:6" ht="18" customHeight="1">
      <c r="B125" s="705" t="s">
        <v>378</v>
      </c>
      <c r="C125" s="706"/>
      <c r="D125" s="702" t="s">
        <v>309</v>
      </c>
      <c r="E125" s="703"/>
      <c r="F125" s="704"/>
    </row>
    <row r="126" spans="2:6" ht="18" customHeight="1">
      <c r="B126" s="705" t="s">
        <v>379</v>
      </c>
      <c r="C126" s="706"/>
      <c r="D126" s="702" t="s">
        <v>309</v>
      </c>
      <c r="E126" s="703"/>
      <c r="F126" s="704"/>
    </row>
    <row r="127" spans="2:6" ht="18" customHeight="1">
      <c r="B127" s="705" t="s">
        <v>380</v>
      </c>
      <c r="C127" s="709"/>
      <c r="D127" s="702" t="s">
        <v>309</v>
      </c>
      <c r="E127" s="703"/>
      <c r="F127" s="704"/>
    </row>
    <row r="128" spans="2:6" ht="18" customHeight="1">
      <c r="B128" s="705" t="s">
        <v>381</v>
      </c>
      <c r="C128" s="706"/>
      <c r="D128" s="702" t="s">
        <v>309</v>
      </c>
      <c r="E128" s="703"/>
      <c r="F128" s="704"/>
    </row>
    <row r="129" spans="2:6" ht="18" customHeight="1">
      <c r="B129" s="705" t="s">
        <v>382</v>
      </c>
      <c r="C129" s="706"/>
      <c r="D129" s="702" t="s">
        <v>309</v>
      </c>
      <c r="E129" s="703"/>
      <c r="F129" s="704"/>
    </row>
    <row r="130" spans="2:6" ht="18" customHeight="1">
      <c r="B130" s="705" t="s">
        <v>383</v>
      </c>
      <c r="C130" s="706"/>
      <c r="D130" s="702" t="s">
        <v>309</v>
      </c>
      <c r="E130" s="703"/>
      <c r="F130" s="704"/>
    </row>
    <row r="131" spans="2:6" ht="18" customHeight="1">
      <c r="B131" s="705" t="s">
        <v>384</v>
      </c>
      <c r="C131" s="706"/>
      <c r="D131" s="702" t="s">
        <v>309</v>
      </c>
      <c r="E131" s="703"/>
      <c r="F131" s="704"/>
    </row>
    <row r="132" spans="2:6" ht="18" customHeight="1">
      <c r="B132" s="705" t="s">
        <v>385</v>
      </c>
      <c r="C132" s="706"/>
      <c r="D132" s="702" t="s">
        <v>309</v>
      </c>
      <c r="E132" s="703"/>
      <c r="F132" s="704"/>
    </row>
    <row r="133" spans="2:6" ht="18" customHeight="1">
      <c r="B133" s="705" t="s">
        <v>386</v>
      </c>
      <c r="C133" s="706"/>
      <c r="D133" s="702" t="s">
        <v>309</v>
      </c>
      <c r="E133" s="703"/>
      <c r="F133" s="704"/>
    </row>
    <row r="134" spans="2:6" ht="18" customHeight="1">
      <c r="B134" s="705" t="s">
        <v>387</v>
      </c>
      <c r="C134" s="706"/>
      <c r="D134" s="702" t="s">
        <v>309</v>
      </c>
      <c r="E134" s="703"/>
      <c r="F134" s="704"/>
    </row>
    <row r="135" spans="2:6" ht="18" customHeight="1">
      <c r="B135" s="407" t="s">
        <v>388</v>
      </c>
      <c r="C135" s="177"/>
      <c r="D135" s="702"/>
      <c r="E135" s="703"/>
      <c r="F135" s="704"/>
    </row>
    <row r="136" spans="2:6" ht="18" customHeight="1">
      <c r="B136" s="705" t="s">
        <v>389</v>
      </c>
      <c r="C136" s="706"/>
      <c r="D136" s="702" t="s">
        <v>309</v>
      </c>
      <c r="E136" s="703"/>
      <c r="F136" s="704"/>
    </row>
    <row r="137" spans="2:6" ht="18" customHeight="1">
      <c r="B137" s="407" t="s">
        <v>390</v>
      </c>
      <c r="C137" s="177"/>
      <c r="D137" s="702"/>
      <c r="E137" s="703"/>
      <c r="F137" s="704"/>
    </row>
    <row r="138" spans="2:6" ht="18" customHeight="1">
      <c r="B138" s="705" t="s">
        <v>391</v>
      </c>
      <c r="C138" s="706"/>
      <c r="D138" s="702" t="s">
        <v>309</v>
      </c>
      <c r="E138" s="703"/>
      <c r="F138" s="704"/>
    </row>
    <row r="139" spans="2:6" ht="18" customHeight="1">
      <c r="B139" s="705" t="s">
        <v>392</v>
      </c>
      <c r="C139" s="706"/>
      <c r="D139" s="702" t="s">
        <v>309</v>
      </c>
      <c r="E139" s="703"/>
      <c r="F139" s="704"/>
    </row>
    <row r="140" spans="2:6" ht="18" customHeight="1">
      <c r="B140" s="705" t="s">
        <v>393</v>
      </c>
      <c r="C140" s="706"/>
      <c r="D140" s="702" t="s">
        <v>309</v>
      </c>
      <c r="E140" s="703"/>
      <c r="F140" s="704"/>
    </row>
    <row r="141" spans="2:6" ht="18" customHeight="1">
      <c r="B141" s="705" t="s">
        <v>394</v>
      </c>
      <c r="C141" s="706"/>
      <c r="D141" s="702" t="s">
        <v>309</v>
      </c>
      <c r="E141" s="703"/>
      <c r="F141" s="704"/>
    </row>
    <row r="142" spans="2:6" ht="18" customHeight="1">
      <c r="B142" s="407" t="s">
        <v>395</v>
      </c>
      <c r="C142" s="174"/>
      <c r="D142" s="702"/>
      <c r="E142" s="703"/>
      <c r="F142" s="704"/>
    </row>
    <row r="143" spans="2:6" ht="18" customHeight="1">
      <c r="B143" s="705" t="s">
        <v>396</v>
      </c>
      <c r="C143" s="706"/>
      <c r="D143" s="702" t="s">
        <v>309</v>
      </c>
      <c r="E143" s="703"/>
      <c r="F143" s="704"/>
    </row>
    <row r="144" spans="2:6" ht="18" customHeight="1">
      <c r="B144" s="705" t="s">
        <v>397</v>
      </c>
      <c r="C144" s="706"/>
      <c r="D144" s="702" t="s">
        <v>309</v>
      </c>
      <c r="E144" s="703"/>
      <c r="F144" s="704"/>
    </row>
    <row r="145" spans="2:6" ht="18" customHeight="1">
      <c r="B145" s="705" t="s">
        <v>398</v>
      </c>
      <c r="C145" s="706"/>
      <c r="D145" s="702" t="s">
        <v>309</v>
      </c>
      <c r="E145" s="703"/>
      <c r="F145" s="704"/>
    </row>
    <row r="146" spans="2:6" ht="18" customHeight="1">
      <c r="B146" s="705" t="s">
        <v>399</v>
      </c>
      <c r="C146" s="706"/>
      <c r="D146" s="702" t="s">
        <v>309</v>
      </c>
      <c r="E146" s="703"/>
      <c r="F146" s="704"/>
    </row>
    <row r="147" spans="2:6" ht="18" customHeight="1">
      <c r="B147" s="407" t="s">
        <v>400</v>
      </c>
      <c r="C147" s="177"/>
      <c r="D147" s="702"/>
      <c r="E147" s="703"/>
      <c r="F147" s="704"/>
    </row>
    <row r="148" spans="2:6" ht="18" customHeight="1">
      <c r="B148" s="705" t="s">
        <v>401</v>
      </c>
      <c r="C148" s="706"/>
      <c r="D148" s="702" t="s">
        <v>309</v>
      </c>
      <c r="E148" s="703"/>
      <c r="F148" s="704"/>
    </row>
    <row r="149" spans="2:6" ht="18" customHeight="1">
      <c r="B149" s="705" t="s">
        <v>402</v>
      </c>
      <c r="C149" s="706"/>
      <c r="D149" s="702" t="s">
        <v>309</v>
      </c>
      <c r="E149" s="703"/>
      <c r="F149" s="704"/>
    </row>
    <row r="150" spans="2:6" ht="18" customHeight="1">
      <c r="B150" s="705" t="s">
        <v>403</v>
      </c>
      <c r="C150" s="706"/>
      <c r="D150" s="702" t="s">
        <v>309</v>
      </c>
      <c r="E150" s="703"/>
      <c r="F150" s="704"/>
    </row>
    <row r="151" spans="2:6" ht="18" customHeight="1">
      <c r="B151" s="705" t="s">
        <v>404</v>
      </c>
      <c r="C151" s="706"/>
      <c r="D151" s="702" t="s">
        <v>309</v>
      </c>
      <c r="E151" s="703"/>
      <c r="F151" s="704"/>
    </row>
    <row r="152" spans="2:6" ht="25.5" customHeight="1">
      <c r="B152" s="705" t="s">
        <v>405</v>
      </c>
      <c r="C152" s="706"/>
      <c r="D152" s="702" t="s">
        <v>309</v>
      </c>
      <c r="E152" s="703"/>
      <c r="F152" s="704"/>
    </row>
    <row r="153" spans="2:6" ht="18" customHeight="1">
      <c r="B153" s="705" t="s">
        <v>406</v>
      </c>
      <c r="C153" s="706"/>
      <c r="D153" s="702" t="s">
        <v>309</v>
      </c>
      <c r="E153" s="703"/>
      <c r="F153" s="704"/>
    </row>
    <row r="154" spans="2:6" ht="18" customHeight="1">
      <c r="B154" s="705" t="s">
        <v>407</v>
      </c>
      <c r="C154" s="706"/>
      <c r="D154" s="702" t="s">
        <v>309</v>
      </c>
      <c r="E154" s="703"/>
      <c r="F154" s="704"/>
    </row>
    <row r="155" spans="2:6" ht="18" customHeight="1">
      <c r="B155" s="705" t="s">
        <v>408</v>
      </c>
      <c r="C155" s="706"/>
      <c r="D155" s="702" t="s">
        <v>309</v>
      </c>
      <c r="E155" s="703"/>
      <c r="F155" s="704"/>
    </row>
    <row r="156" spans="2:6" ht="18" customHeight="1">
      <c r="B156" s="705" t="s">
        <v>409</v>
      </c>
      <c r="C156" s="706"/>
      <c r="D156" s="702" t="s">
        <v>309</v>
      </c>
      <c r="E156" s="703"/>
      <c r="F156" s="704"/>
    </row>
    <row r="157" spans="2:6" ht="18" customHeight="1">
      <c r="B157" s="407" t="s">
        <v>410</v>
      </c>
      <c r="C157" s="174"/>
      <c r="D157" s="702"/>
      <c r="E157" s="703"/>
      <c r="F157" s="704"/>
    </row>
    <row r="158" spans="2:6" ht="27.6" customHeight="1">
      <c r="B158" s="705" t="s">
        <v>411</v>
      </c>
      <c r="C158" s="706"/>
      <c r="D158" s="702" t="s">
        <v>309</v>
      </c>
      <c r="E158" s="703"/>
      <c r="F158" s="704"/>
    </row>
    <row r="159" spans="2:6" ht="18" customHeight="1">
      <c r="B159" s="407" t="s">
        <v>412</v>
      </c>
      <c r="C159" s="177"/>
      <c r="D159" s="702"/>
      <c r="E159" s="703"/>
      <c r="F159" s="704"/>
    </row>
    <row r="160" spans="2:6" ht="18" customHeight="1">
      <c r="B160" s="705" t="s">
        <v>413</v>
      </c>
      <c r="C160" s="706"/>
      <c r="D160" s="702" t="s">
        <v>309</v>
      </c>
      <c r="E160" s="703"/>
      <c r="F160" s="704"/>
    </row>
    <row r="161" spans="1:8" ht="18" customHeight="1">
      <c r="B161" s="705" t="s">
        <v>414</v>
      </c>
      <c r="C161" s="706"/>
      <c r="D161" s="702" t="s">
        <v>309</v>
      </c>
      <c r="E161" s="703"/>
      <c r="F161" s="704"/>
    </row>
    <row r="162" spans="1:8" ht="18" customHeight="1">
      <c r="B162" s="407" t="s">
        <v>415</v>
      </c>
      <c r="C162" s="177"/>
      <c r="D162" s="702"/>
      <c r="E162" s="703"/>
      <c r="F162" s="704"/>
    </row>
    <row r="163" spans="1:8" ht="18" customHeight="1">
      <c r="B163" s="705" t="s">
        <v>416</v>
      </c>
      <c r="C163" s="709"/>
      <c r="D163" s="702"/>
      <c r="E163" s="703"/>
      <c r="F163" s="704"/>
    </row>
    <row r="164" spans="1:8" ht="18" customHeight="1">
      <c r="B164" s="705" t="s">
        <v>417</v>
      </c>
      <c r="C164" s="709"/>
      <c r="D164" s="702" t="s">
        <v>309</v>
      </c>
      <c r="E164" s="703"/>
      <c r="F164" s="704"/>
    </row>
    <row r="165" spans="1:8" s="175" customFormat="1" ht="26.25" customHeight="1">
      <c r="A165" s="155"/>
      <c r="B165" s="705" t="s">
        <v>418</v>
      </c>
      <c r="C165" s="709"/>
      <c r="D165" s="702" t="s">
        <v>309</v>
      </c>
      <c r="E165" s="703"/>
      <c r="F165" s="704"/>
      <c r="G165" s="40"/>
    </row>
    <row r="166" spans="1:8" ht="26.25" customHeight="1">
      <c r="B166" s="705" t="s">
        <v>419</v>
      </c>
      <c r="C166" s="709"/>
      <c r="D166" s="702" t="s">
        <v>309</v>
      </c>
      <c r="E166" s="703"/>
      <c r="F166" s="704"/>
    </row>
    <row r="167" spans="1:8" ht="18" customHeight="1">
      <c r="B167" s="705" t="s">
        <v>420</v>
      </c>
      <c r="C167" s="709"/>
      <c r="D167" s="702" t="s">
        <v>309</v>
      </c>
      <c r="E167" s="703"/>
      <c r="F167" s="704"/>
    </row>
    <row r="168" spans="1:8" ht="18" customHeight="1">
      <c r="B168" s="407" t="s">
        <v>421</v>
      </c>
      <c r="C168" s="177"/>
      <c r="D168" s="702"/>
      <c r="E168" s="703"/>
      <c r="F168" s="704"/>
    </row>
    <row r="169" spans="1:8" ht="26.25" customHeight="1">
      <c r="B169" s="705" t="s">
        <v>422</v>
      </c>
      <c r="C169" s="706"/>
      <c r="D169" s="702" t="s">
        <v>309</v>
      </c>
      <c r="E169" s="703"/>
      <c r="F169" s="704"/>
      <c r="H169"/>
    </row>
    <row r="170" spans="1:8" ht="26.25" customHeight="1">
      <c r="B170" s="705" t="s">
        <v>423</v>
      </c>
      <c r="C170" s="706"/>
      <c r="D170" s="702" t="s">
        <v>309</v>
      </c>
      <c r="E170" s="703"/>
      <c r="F170" s="704"/>
      <c r="H170"/>
    </row>
    <row r="171" spans="1:8" ht="26.1" customHeight="1">
      <c r="B171" s="705" t="s">
        <v>424</v>
      </c>
      <c r="C171" s="709"/>
      <c r="D171" s="702" t="s">
        <v>309</v>
      </c>
      <c r="E171" s="703"/>
      <c r="F171" s="704"/>
    </row>
    <row r="172" spans="1:8" ht="24" customHeight="1">
      <c r="B172" s="407" t="s">
        <v>425</v>
      </c>
      <c r="C172" s="177"/>
      <c r="D172" s="702"/>
      <c r="E172" s="703"/>
      <c r="F172" s="704"/>
    </row>
    <row r="173" spans="1:8" ht="18" customHeight="1">
      <c r="B173" s="705" t="s">
        <v>426</v>
      </c>
      <c r="C173" s="706"/>
      <c r="D173" s="702" t="s">
        <v>309</v>
      </c>
      <c r="E173" s="703"/>
      <c r="F173" s="704"/>
      <c r="H173" s="178"/>
    </row>
    <row r="174" spans="1:8" ht="22.9" customHeight="1">
      <c r="B174" s="407" t="s">
        <v>427</v>
      </c>
      <c r="C174" s="177"/>
      <c r="D174" s="702"/>
      <c r="E174" s="703"/>
      <c r="F174" s="704"/>
    </row>
    <row r="175" spans="1:8" ht="18" customHeight="1">
      <c r="B175" s="705" t="s">
        <v>428</v>
      </c>
      <c r="C175" s="706"/>
      <c r="D175" s="702" t="s">
        <v>309</v>
      </c>
      <c r="E175" s="703"/>
      <c r="F175" s="704"/>
      <c r="H175" s="179"/>
    </row>
    <row r="176" spans="1:8" ht="18" customHeight="1">
      <c r="B176" s="407" t="s">
        <v>429</v>
      </c>
      <c r="C176" s="174"/>
      <c r="D176" s="702"/>
      <c r="E176" s="703"/>
      <c r="F176" s="704"/>
    </row>
    <row r="177" spans="1:18" ht="18" customHeight="1">
      <c r="B177" s="705" t="s">
        <v>430</v>
      </c>
      <c r="C177" s="706"/>
      <c r="D177" s="702" t="s">
        <v>309</v>
      </c>
      <c r="E177" s="703"/>
      <c r="F177" s="704"/>
      <c r="H177" s="178"/>
      <c r="I177" s="175"/>
    </row>
    <row r="178" spans="1:18" ht="27" customHeight="1" thickBot="1">
      <c r="B178" s="707" t="s">
        <v>431</v>
      </c>
      <c r="C178" s="708"/>
      <c r="D178" s="692" t="s">
        <v>309</v>
      </c>
      <c r="E178" s="693"/>
      <c r="F178" s="694"/>
    </row>
    <row r="179" spans="1:18" ht="18" customHeight="1">
      <c r="A179" s="164"/>
      <c r="B179" s="752"/>
      <c r="C179" s="752"/>
      <c r="D179" s="40"/>
    </row>
    <row r="180" spans="1:18" ht="18" customHeight="1">
      <c r="A180" s="164"/>
      <c r="B180" s="180"/>
      <c r="C180" s="180"/>
      <c r="D180" s="40"/>
      <c r="H180" s="250" t="s">
        <v>490</v>
      </c>
      <c r="I180" s="181"/>
      <c r="J180" s="175" t="s">
        <v>433</v>
      </c>
    </row>
    <row r="181" spans="1:18" ht="18" customHeight="1">
      <c r="A181" s="164"/>
      <c r="B181" s="180"/>
      <c r="C181" s="180"/>
      <c r="D181" s="40"/>
      <c r="H181" s="182" t="s">
        <v>434</v>
      </c>
      <c r="I181" s="183"/>
      <c r="J181" s="184"/>
    </row>
    <row r="182" spans="1:18" ht="24.95" customHeight="1" thickBot="1">
      <c r="A182" s="164"/>
      <c r="B182" s="753" t="s">
        <v>300</v>
      </c>
      <c r="C182" s="753"/>
      <c r="D182" s="185"/>
      <c r="E182" s="185"/>
      <c r="F182" s="185"/>
      <c r="H182" s="186" t="s">
        <v>435</v>
      </c>
      <c r="I182" s="183"/>
      <c r="J182" s="184"/>
    </row>
    <row r="183" spans="1:18" ht="18" customHeight="1">
      <c r="A183" s="164"/>
      <c r="B183" s="187" t="s">
        <v>436</v>
      </c>
      <c r="C183" s="188">
        <f>+C48</f>
        <v>0</v>
      </c>
      <c r="D183" s="754" t="s">
        <v>437</v>
      </c>
      <c r="E183" s="755"/>
      <c r="F183" s="756"/>
      <c r="H183" s="186" t="s">
        <v>438</v>
      </c>
      <c r="I183" s="183"/>
      <c r="J183" s="189" t="s">
        <v>439</v>
      </c>
      <c r="K183" s="190"/>
      <c r="L183" s="191"/>
      <c r="M183" s="191"/>
      <c r="N183" s="191"/>
      <c r="O183" s="191"/>
      <c r="P183" s="191"/>
      <c r="Q183" s="191"/>
      <c r="R183" s="192"/>
    </row>
    <row r="184" spans="1:18" ht="18" customHeight="1">
      <c r="A184" s="164"/>
      <c r="B184" s="193" t="s">
        <v>305</v>
      </c>
      <c r="C184" s="757">
        <f>+C52</f>
        <v>0</v>
      </c>
      <c r="D184" s="757"/>
      <c r="E184" s="757"/>
      <c r="F184" s="758"/>
      <c r="H184" s="194" t="s">
        <v>440</v>
      </c>
      <c r="I184" s="195"/>
      <c r="J184" s="189" t="s">
        <v>439</v>
      </c>
      <c r="K184" s="196"/>
      <c r="L184" s="197"/>
      <c r="M184" s="197"/>
      <c r="N184" s="197"/>
      <c r="O184" s="197"/>
      <c r="P184" s="197"/>
      <c r="Q184" s="197"/>
      <c r="R184" s="198"/>
    </row>
    <row r="185" spans="1:18" ht="18" customHeight="1">
      <c r="A185" s="164"/>
      <c r="B185" s="199"/>
      <c r="C185" s="200"/>
      <c r="D185" s="201" t="s">
        <v>441</v>
      </c>
      <c r="E185" s="201" t="s">
        <v>442</v>
      </c>
      <c r="F185" s="202" t="s">
        <v>443</v>
      </c>
      <c r="H185" s="186" t="s">
        <v>444</v>
      </c>
      <c r="I185" s="183"/>
      <c r="J185" s="189" t="s">
        <v>439</v>
      </c>
      <c r="K185" s="196"/>
      <c r="L185" s="197"/>
      <c r="M185" s="197"/>
      <c r="N185" s="197"/>
      <c r="O185" s="197"/>
      <c r="P185" s="197"/>
      <c r="Q185" s="197"/>
      <c r="R185" s="198"/>
    </row>
    <row r="186" spans="1:18" ht="21.6" customHeight="1">
      <c r="A186" s="164"/>
      <c r="B186" s="750" t="s">
        <v>445</v>
      </c>
      <c r="C186" s="751"/>
      <c r="D186" s="212">
        <f>SUM(I189)</f>
        <v>0</v>
      </c>
      <c r="E186" s="408"/>
      <c r="F186" s="205">
        <f>SUM(E186-D186)</f>
        <v>0</v>
      </c>
      <c r="H186" s="206" t="s">
        <v>446</v>
      </c>
      <c r="I186" s="182"/>
    </row>
    <row r="187" spans="1:18" ht="18" customHeight="1">
      <c r="B187" s="744" t="s">
        <v>316</v>
      </c>
      <c r="C187" s="745"/>
      <c r="D187" s="745"/>
      <c r="E187" s="745"/>
      <c r="F187" s="746"/>
      <c r="H187" s="207"/>
      <c r="I187" s="208"/>
      <c r="J187" s="168"/>
    </row>
    <row r="188" spans="1:18" ht="18" customHeight="1">
      <c r="B188" s="710" t="s">
        <v>447</v>
      </c>
      <c r="C188" s="712"/>
      <c r="D188" s="409">
        <v>0</v>
      </c>
      <c r="E188" s="408"/>
      <c r="F188" s="205">
        <f t="shared" ref="F188:F194" si="0">SUM(E188-D188)</f>
        <v>0</v>
      </c>
      <c r="H188" s="182"/>
      <c r="I188" s="182"/>
    </row>
    <row r="189" spans="1:18" ht="18" customHeight="1">
      <c r="B189" s="710" t="s">
        <v>448</v>
      </c>
      <c r="C189" s="712"/>
      <c r="D189" s="409">
        <v>0</v>
      </c>
      <c r="E189" s="408"/>
      <c r="F189" s="205">
        <f t="shared" si="0"/>
        <v>0</v>
      </c>
      <c r="H189" s="206" t="s">
        <v>173</v>
      </c>
      <c r="I189" s="206">
        <f>SUM(I181:I188)</f>
        <v>0</v>
      </c>
    </row>
    <row r="190" spans="1:18" ht="18" customHeight="1">
      <c r="B190" s="710" t="s">
        <v>449</v>
      </c>
      <c r="C190" s="712"/>
      <c r="D190" s="409">
        <v>0</v>
      </c>
      <c r="E190" s="408"/>
      <c r="F190" s="205">
        <f t="shared" si="0"/>
        <v>0</v>
      </c>
      <c r="G190" s="172"/>
    </row>
    <row r="191" spans="1:18" ht="18" customHeight="1">
      <c r="B191" s="710" t="s">
        <v>450</v>
      </c>
      <c r="C191" s="712"/>
      <c r="D191" s="409">
        <v>0</v>
      </c>
      <c r="E191" s="408"/>
      <c r="F191" s="205">
        <f t="shared" si="0"/>
        <v>0</v>
      </c>
    </row>
    <row r="192" spans="1:18" ht="18" customHeight="1">
      <c r="B192" s="710" t="s">
        <v>451</v>
      </c>
      <c r="C192" s="712"/>
      <c r="D192" s="409">
        <v>0</v>
      </c>
      <c r="E192" s="408"/>
      <c r="F192" s="205">
        <f>SUM(E192-D192)</f>
        <v>0</v>
      </c>
      <c r="I192" s="175"/>
      <c r="J192" s="175"/>
      <c r="K192" s="175"/>
      <c r="L192" s="175"/>
      <c r="M192" s="175"/>
      <c r="N192" s="175"/>
      <c r="O192" s="175"/>
      <c r="P192" s="175"/>
      <c r="Q192" s="175"/>
      <c r="R192" s="175"/>
    </row>
    <row r="193" spans="1:18" ht="18" customHeight="1">
      <c r="B193" s="710" t="s">
        <v>452</v>
      </c>
      <c r="C193" s="712"/>
      <c r="D193" s="409">
        <v>500</v>
      </c>
      <c r="E193" s="408"/>
      <c r="F193" s="205">
        <f t="shared" si="0"/>
        <v>-500</v>
      </c>
      <c r="H193" s="175" t="e">
        <f>+#REF!</f>
        <v>#REF!</v>
      </c>
      <c r="I193" s="175"/>
      <c r="J193" s="175"/>
      <c r="K193" s="175"/>
      <c r="L193" s="175"/>
      <c r="M193" s="175"/>
      <c r="N193" s="175"/>
      <c r="O193" s="175"/>
      <c r="P193" s="175"/>
      <c r="Q193" s="175"/>
      <c r="R193" s="175"/>
    </row>
    <row r="194" spans="1:18" ht="18" customHeight="1">
      <c r="B194" s="710" t="s">
        <v>453</v>
      </c>
      <c r="C194" s="712"/>
      <c r="D194" s="409">
        <v>0</v>
      </c>
      <c r="E194" s="408"/>
      <c r="F194" s="205">
        <f t="shared" si="0"/>
        <v>0</v>
      </c>
    </row>
    <row r="195" spans="1:18" ht="18" customHeight="1">
      <c r="B195" s="744" t="s">
        <v>322</v>
      </c>
      <c r="C195" s="745"/>
      <c r="D195" s="745"/>
      <c r="E195" s="745"/>
      <c r="F195" s="746"/>
    </row>
    <row r="196" spans="1:18" ht="37.5" customHeight="1">
      <c r="B196" s="710" t="s">
        <v>454</v>
      </c>
      <c r="C196" s="712"/>
      <c r="D196" s="409">
        <v>0</v>
      </c>
      <c r="E196" s="408"/>
      <c r="F196" s="205">
        <f>SUM(E196-D196)</f>
        <v>0</v>
      </c>
    </row>
    <row r="197" spans="1:18" ht="18" customHeight="1">
      <c r="B197" s="744" t="s">
        <v>455</v>
      </c>
      <c r="C197" s="745"/>
      <c r="D197" s="745"/>
      <c r="E197" s="745"/>
      <c r="F197" s="746"/>
    </row>
    <row r="198" spans="1:18" ht="27" customHeight="1">
      <c r="B198" s="710" t="s">
        <v>456</v>
      </c>
      <c r="C198" s="712"/>
      <c r="D198" s="409">
        <f>+'Site Costs'!D27</f>
        <v>2200</v>
      </c>
      <c r="E198" s="408"/>
      <c r="F198" s="205">
        <f>SUM(E198-D198)</f>
        <v>-2200</v>
      </c>
    </row>
    <row r="199" spans="1:18" ht="18" customHeight="1">
      <c r="B199" s="744" t="s">
        <v>457</v>
      </c>
      <c r="C199" s="745"/>
      <c r="D199" s="745"/>
      <c r="E199" s="745"/>
      <c r="F199" s="746"/>
    </row>
    <row r="200" spans="1:18" ht="27" customHeight="1">
      <c r="B200" s="710" t="s">
        <v>458</v>
      </c>
      <c r="C200" s="712"/>
      <c r="D200" s="409" t="s">
        <v>459</v>
      </c>
      <c r="E200" s="408"/>
      <c r="F200" s="210" t="s">
        <v>459</v>
      </c>
    </row>
    <row r="201" spans="1:18" ht="18" customHeight="1">
      <c r="B201" s="747" t="s">
        <v>460</v>
      </c>
      <c r="C201" s="748"/>
      <c r="D201" s="748"/>
      <c r="E201" s="748"/>
      <c r="F201" s="749"/>
    </row>
    <row r="202" spans="1:18" ht="18" customHeight="1">
      <c r="B202" s="744" t="s">
        <v>332</v>
      </c>
      <c r="C202" s="745"/>
      <c r="D202" s="745"/>
      <c r="E202" s="745"/>
      <c r="F202" s="746"/>
    </row>
    <row r="203" spans="1:18" s="21" customFormat="1" ht="18" customHeight="1">
      <c r="A203" s="410"/>
      <c r="B203" s="741" t="s">
        <v>522</v>
      </c>
      <c r="C203" s="742"/>
      <c r="D203" s="411">
        <f>+CEILING(('House extension'!D25*8.25)+(5*('House extension'!D26+'House extension'!D29)+Facades!D7+4000),10)</f>
        <v>10040</v>
      </c>
      <c r="E203" s="412"/>
      <c r="F203" s="412">
        <f t="shared" ref="F203:F214" si="1">SUM(E203-D203)</f>
        <v>-10040</v>
      </c>
    </row>
    <row r="204" spans="1:18" s="21" customFormat="1" ht="18" customHeight="1">
      <c r="A204" s="410"/>
      <c r="B204" s="741" t="s">
        <v>523</v>
      </c>
      <c r="C204" s="742"/>
      <c r="D204" s="411">
        <v>3500</v>
      </c>
      <c r="E204" s="412"/>
      <c r="F204" s="412">
        <f t="shared" si="1"/>
        <v>-3500</v>
      </c>
    </row>
    <row r="205" spans="1:18" s="95" customFormat="1" ht="18" customHeight="1">
      <c r="A205" s="410"/>
      <c r="B205" s="732" t="s">
        <v>524</v>
      </c>
      <c r="C205" s="743"/>
      <c r="D205" s="411">
        <f>+'House extension'!D27</f>
        <v>810</v>
      </c>
      <c r="E205" s="412"/>
      <c r="F205" s="412">
        <f t="shared" si="1"/>
        <v>-810</v>
      </c>
    </row>
    <row r="206" spans="1:18" s="21" customFormat="1" ht="18" customHeight="1">
      <c r="A206" s="410"/>
      <c r="B206" s="732" t="s">
        <v>525</v>
      </c>
      <c r="C206" s="733"/>
      <c r="D206" s="411">
        <v>405</v>
      </c>
      <c r="E206" s="412"/>
      <c r="F206" s="412">
        <f>SUM(E206-D206)</f>
        <v>-405</v>
      </c>
    </row>
    <row r="207" spans="1:18" s="95" customFormat="1" ht="18" customHeight="1">
      <c r="A207" s="410"/>
      <c r="B207" s="732" t="s">
        <v>526</v>
      </c>
      <c r="C207" s="743"/>
      <c r="D207" s="411">
        <v>3900</v>
      </c>
      <c r="E207" s="412"/>
      <c r="F207" s="412">
        <f t="shared" si="1"/>
        <v>-3900</v>
      </c>
    </row>
    <row r="208" spans="1:18" s="21" customFormat="1" ht="18" customHeight="1">
      <c r="A208" s="410"/>
      <c r="B208" s="741" t="s">
        <v>527</v>
      </c>
      <c r="C208" s="742"/>
      <c r="D208" s="411">
        <f>+'Swing Doors'!D9-'Swing Doors'!D6</f>
        <v>1180</v>
      </c>
      <c r="E208" s="412"/>
      <c r="F208" s="412">
        <f>SUM(E208-D208)</f>
        <v>-1180</v>
      </c>
    </row>
    <row r="209" spans="1:8" s="21" customFormat="1" ht="18" customHeight="1">
      <c r="A209" s="410"/>
      <c r="B209" s="741" t="s">
        <v>528</v>
      </c>
      <c r="C209" s="742"/>
      <c r="D209" s="411">
        <f>+'Swing Doors'!D12</f>
        <v>175</v>
      </c>
      <c r="E209" s="412"/>
      <c r="F209" s="412">
        <f>SUM(E209-D209)</f>
        <v>-175</v>
      </c>
    </row>
    <row r="210" spans="1:8" s="21" customFormat="1" ht="18" customHeight="1">
      <c r="A210" s="410"/>
      <c r="B210" s="741" t="s">
        <v>529</v>
      </c>
      <c r="C210" s="742"/>
      <c r="D210" s="411">
        <f>+'Windows &amp; Sliding Doors'!J14*2-'Windows &amp; Sliding Doors'!D16</f>
        <v>680</v>
      </c>
      <c r="E210" s="412"/>
      <c r="F210" s="412">
        <f t="shared" si="1"/>
        <v>-680</v>
      </c>
    </row>
    <row r="211" spans="1:8" s="21" customFormat="1" ht="18" customHeight="1">
      <c r="A211" s="410"/>
      <c r="B211" s="741" t="s">
        <v>530</v>
      </c>
      <c r="C211" s="742"/>
      <c r="D211" s="411">
        <f>+'Windows &amp; Sliding Doors'!J15-'Windows &amp; Sliding Doors'!D15</f>
        <v>230</v>
      </c>
      <c r="E211" s="412"/>
      <c r="F211" s="412">
        <f t="shared" si="1"/>
        <v>-230</v>
      </c>
    </row>
    <row r="212" spans="1:8" s="21" customFormat="1" ht="18" customHeight="1">
      <c r="A212" s="410"/>
      <c r="B212" s="741" t="s">
        <v>531</v>
      </c>
      <c r="C212" s="742"/>
      <c r="D212" s="411">
        <f>+'Windows &amp; Sliding Doors'!J18-'Windows &amp; Sliding Doors'!D18</f>
        <v>355</v>
      </c>
      <c r="E212" s="412"/>
      <c r="F212" s="412">
        <f t="shared" si="1"/>
        <v>-355</v>
      </c>
    </row>
    <row r="213" spans="1:8" s="21" customFormat="1" ht="18" customHeight="1">
      <c r="A213" s="410"/>
      <c r="B213" s="741" t="s">
        <v>532</v>
      </c>
      <c r="C213" s="742"/>
      <c r="D213" s="411">
        <f>+'Windows &amp; Sliding Doors'!J15-'Windows &amp; Sliding Doors'!D16</f>
        <v>180</v>
      </c>
      <c r="E213" s="412"/>
      <c r="F213" s="412">
        <f t="shared" si="1"/>
        <v>-180</v>
      </c>
    </row>
    <row r="214" spans="1:8" s="21" customFormat="1" ht="18" customHeight="1">
      <c r="A214" s="410"/>
      <c r="B214" s="741" t="s">
        <v>533</v>
      </c>
      <c r="C214" s="742"/>
      <c r="D214" s="411">
        <f>+D210</f>
        <v>680</v>
      </c>
      <c r="E214" s="412"/>
      <c r="F214" s="412">
        <f t="shared" si="1"/>
        <v>-680</v>
      </c>
      <c r="G214" s="415">
        <f>SUM(D203:D214)</f>
        <v>22135</v>
      </c>
      <c r="H214" s="21" t="s">
        <v>534</v>
      </c>
    </row>
    <row r="215" spans="1:8" ht="18" customHeight="1">
      <c r="B215" s="744" t="s">
        <v>334</v>
      </c>
      <c r="C215" s="745"/>
      <c r="D215" s="745"/>
      <c r="E215" s="745"/>
      <c r="F215" s="746"/>
    </row>
    <row r="216" spans="1:8" s="21" customFormat="1" ht="18" customHeight="1">
      <c r="A216" s="410"/>
      <c r="B216" s="741" t="s">
        <v>535</v>
      </c>
      <c r="C216" s="742"/>
      <c r="D216" s="411">
        <f>+CEILING('House extension'!D20*260,10)</f>
        <v>4940</v>
      </c>
      <c r="E216" s="412"/>
      <c r="F216" s="412">
        <f>SUM(E216-D216)</f>
        <v>-4940</v>
      </c>
    </row>
    <row r="217" spans="1:8" s="95" customFormat="1" ht="18" customHeight="1">
      <c r="A217" s="410"/>
      <c r="B217" s="732" t="s">
        <v>536</v>
      </c>
      <c r="C217" s="743"/>
      <c r="D217" s="411">
        <f>8*'House extension'!D42+'House extension'!D44*15</f>
        <v>6800</v>
      </c>
      <c r="E217" s="412"/>
      <c r="F217" s="412">
        <f>SUM(E217-D217)</f>
        <v>-6800</v>
      </c>
    </row>
    <row r="218" spans="1:8" s="175" customFormat="1" ht="18" customHeight="1">
      <c r="A218" s="155"/>
      <c r="B218" s="744" t="s">
        <v>461</v>
      </c>
      <c r="C218" s="745"/>
      <c r="D218" s="745"/>
      <c r="E218" s="745"/>
      <c r="F218" s="746"/>
    </row>
    <row r="219" spans="1:8" s="21" customFormat="1" ht="18" customHeight="1">
      <c r="A219" s="410"/>
      <c r="B219" s="741" t="s">
        <v>537</v>
      </c>
      <c r="C219" s="742"/>
      <c r="D219" s="411">
        <f>16*'House extension'!D17</f>
        <v>1360</v>
      </c>
      <c r="E219" s="412"/>
      <c r="F219" s="412">
        <f>SUM(E219-D219)</f>
        <v>-1360</v>
      </c>
    </row>
    <row r="220" spans="1:8" s="21" customFormat="1" ht="18" customHeight="1">
      <c r="A220" s="416"/>
      <c r="B220" s="417" t="s">
        <v>1092</v>
      </c>
      <c r="C220" s="418"/>
      <c r="D220" s="419"/>
      <c r="E220" s="412"/>
      <c r="F220" s="412"/>
    </row>
    <row r="221" spans="1:8" s="95" customFormat="1" ht="26.1" customHeight="1">
      <c r="A221" s="410"/>
      <c r="B221" s="732" t="s">
        <v>1093</v>
      </c>
      <c r="C221" s="743"/>
      <c r="D221" s="411">
        <v>8500</v>
      </c>
      <c r="E221" s="412"/>
      <c r="F221" s="412">
        <f>SUM(E221-D221)</f>
        <v>-8500</v>
      </c>
    </row>
    <row r="222" spans="1:8" s="21" customFormat="1" ht="27.2" customHeight="1">
      <c r="A222" s="410"/>
      <c r="B222" s="741" t="s">
        <v>1094</v>
      </c>
      <c r="C222" s="742"/>
      <c r="D222" s="411">
        <v>4350</v>
      </c>
      <c r="E222" s="412"/>
      <c r="F222" s="412">
        <f>SUM(E222-D222)</f>
        <v>-4350</v>
      </c>
    </row>
    <row r="223" spans="1:8" ht="18" customHeight="1">
      <c r="B223" s="744" t="s">
        <v>462</v>
      </c>
      <c r="C223" s="745"/>
      <c r="D223" s="745"/>
      <c r="E223" s="745"/>
      <c r="F223" s="746"/>
    </row>
    <row r="224" spans="1:8" s="21" customFormat="1" ht="18" customHeight="1">
      <c r="A224" s="410"/>
      <c r="B224" s="741" t="s">
        <v>538</v>
      </c>
      <c r="C224" s="742"/>
      <c r="D224" s="411">
        <v>1315</v>
      </c>
      <c r="E224" s="412"/>
      <c r="F224" s="412">
        <f>SUM(E224-D224)</f>
        <v>-1315</v>
      </c>
    </row>
    <row r="225" spans="1:6" s="21" customFormat="1" ht="18" customHeight="1">
      <c r="A225" s="410"/>
      <c r="B225" s="741" t="s">
        <v>539</v>
      </c>
      <c r="C225" s="742"/>
      <c r="D225" s="411">
        <v>700</v>
      </c>
      <c r="E225" s="412"/>
      <c r="F225" s="412">
        <f>SUM(E225-D225)</f>
        <v>-700</v>
      </c>
    </row>
    <row r="226" spans="1:6" s="95" customFormat="1" ht="27.2" customHeight="1">
      <c r="A226" s="410"/>
      <c r="B226" s="732" t="s">
        <v>540</v>
      </c>
      <c r="C226" s="743"/>
      <c r="D226" s="411">
        <f>72*15</f>
        <v>1080</v>
      </c>
      <c r="E226" s="412"/>
      <c r="F226" s="412">
        <f>SUM(E226-D226)</f>
        <v>-1080</v>
      </c>
    </row>
    <row r="227" spans="1:6" s="95" customFormat="1" ht="26.1" customHeight="1">
      <c r="A227" s="410"/>
      <c r="B227" s="732" t="s">
        <v>541</v>
      </c>
      <c r="C227" s="743"/>
      <c r="D227" s="411">
        <v>250</v>
      </c>
      <c r="E227" s="412"/>
      <c r="F227" s="412">
        <f>SUM(E227-D227)</f>
        <v>-250</v>
      </c>
    </row>
    <row r="228" spans="1:6" s="95" customFormat="1" ht="18" customHeight="1">
      <c r="A228" s="410"/>
      <c r="B228" s="732" t="s">
        <v>542</v>
      </c>
      <c r="C228" s="743"/>
      <c r="D228" s="411">
        <f>400*3</f>
        <v>1200</v>
      </c>
      <c r="E228" s="412"/>
      <c r="F228" s="412">
        <f>SUM(E228-D228)</f>
        <v>-1200</v>
      </c>
    </row>
    <row r="229" spans="1:6" s="21" customFormat="1" ht="18" customHeight="1">
      <c r="A229" s="416"/>
      <c r="B229" s="417" t="s">
        <v>852</v>
      </c>
      <c r="C229" s="418"/>
      <c r="D229" s="419"/>
      <c r="E229" s="412"/>
      <c r="F229" s="412"/>
    </row>
    <row r="230" spans="1:6" s="21" customFormat="1" ht="18" customHeight="1">
      <c r="A230" s="410"/>
      <c r="B230" s="741" t="s">
        <v>853</v>
      </c>
      <c r="C230" s="742"/>
      <c r="D230" s="411">
        <v>250</v>
      </c>
      <c r="E230" s="412"/>
      <c r="F230" s="412">
        <f>SUM(E230-D230)</f>
        <v>-250</v>
      </c>
    </row>
    <row r="231" spans="1:6" s="21" customFormat="1" ht="26.1" customHeight="1">
      <c r="A231" s="410"/>
      <c r="B231" s="741" t="s">
        <v>854</v>
      </c>
      <c r="C231" s="742"/>
      <c r="D231" s="411">
        <v>1995</v>
      </c>
      <c r="E231" s="412"/>
      <c r="F231" s="412">
        <f>SUM(E231-D231)</f>
        <v>-1995</v>
      </c>
    </row>
    <row r="232" spans="1:6" s="21" customFormat="1" ht="26.1" customHeight="1">
      <c r="A232" s="410"/>
      <c r="B232" s="741" t="s">
        <v>855</v>
      </c>
      <c r="C232" s="742"/>
      <c r="D232" s="411">
        <v>1390</v>
      </c>
      <c r="E232" s="412"/>
      <c r="F232" s="412">
        <f>SUM(E232-D232)</f>
        <v>-1390</v>
      </c>
    </row>
    <row r="233" spans="1:6" s="21" customFormat="1" ht="26.1" customHeight="1">
      <c r="A233" s="410"/>
      <c r="B233" s="741" t="s">
        <v>856</v>
      </c>
      <c r="C233" s="742"/>
      <c r="D233" s="411">
        <v>1940</v>
      </c>
      <c r="E233" s="412"/>
      <c r="F233" s="412">
        <f>SUM(E233-D233)</f>
        <v>-1940</v>
      </c>
    </row>
    <row r="234" spans="1:6" s="21" customFormat="1" ht="18" customHeight="1">
      <c r="A234" s="410"/>
      <c r="B234" s="741" t="s">
        <v>857</v>
      </c>
      <c r="C234" s="742"/>
      <c r="D234" s="411">
        <v>2400</v>
      </c>
      <c r="E234" s="412"/>
      <c r="F234" s="412">
        <f>SUM(E234-D234)</f>
        <v>-2400</v>
      </c>
    </row>
    <row r="235" spans="1:6" s="21" customFormat="1" ht="18" customHeight="1">
      <c r="A235" s="416"/>
      <c r="B235" s="417" t="s">
        <v>858</v>
      </c>
      <c r="C235" s="418"/>
      <c r="D235" s="419"/>
      <c r="E235" s="412"/>
      <c r="F235" s="412"/>
    </row>
    <row r="236" spans="1:6" s="21" customFormat="1" ht="18" customHeight="1">
      <c r="A236" s="410"/>
      <c r="B236" s="741" t="s">
        <v>859</v>
      </c>
      <c r="C236" s="742"/>
      <c r="D236" s="411">
        <v>6950</v>
      </c>
      <c r="E236" s="412"/>
      <c r="F236" s="412">
        <f>SUM(E236-D236)</f>
        <v>-6950</v>
      </c>
    </row>
    <row r="237" spans="1:6" s="21" customFormat="1" ht="18" customHeight="1">
      <c r="A237" s="410"/>
      <c r="B237" s="417" t="s">
        <v>366</v>
      </c>
      <c r="C237" s="414"/>
      <c r="D237" s="411"/>
      <c r="E237" s="412"/>
      <c r="F237" s="412"/>
    </row>
    <row r="238" spans="1:6" s="21" customFormat="1" ht="26.1" customHeight="1">
      <c r="A238" s="410"/>
      <c r="B238" s="732" t="s">
        <v>860</v>
      </c>
      <c r="C238" s="733"/>
      <c r="D238" s="411">
        <f>+(27+27)*Cabinetry!E40+27*Cabinetry!E56</f>
        <v>6075</v>
      </c>
      <c r="E238" s="412"/>
      <c r="F238" s="412">
        <f>SUM(E238-D238)</f>
        <v>-6075</v>
      </c>
    </row>
    <row r="239" spans="1:6" s="21" customFormat="1" ht="26.1" customHeight="1">
      <c r="A239" s="410"/>
      <c r="B239" s="732" t="s">
        <v>861</v>
      </c>
      <c r="C239" s="733"/>
      <c r="D239" s="411">
        <f>2*Cabinetry!E58</f>
        <v>1720</v>
      </c>
      <c r="E239" s="412"/>
      <c r="F239" s="412">
        <f>SUM(E239-D239)</f>
        <v>-1720</v>
      </c>
    </row>
    <row r="240" spans="1:6" s="21" customFormat="1" ht="26.1" customHeight="1">
      <c r="A240" s="410"/>
      <c r="B240" s="732" t="s">
        <v>862</v>
      </c>
      <c r="C240" s="733"/>
      <c r="D240" s="411">
        <v>2725</v>
      </c>
      <c r="E240" s="412"/>
      <c r="F240" s="412">
        <f>SUM(E240-D240)</f>
        <v>-2725</v>
      </c>
    </row>
    <row r="241" spans="1:9" s="21" customFormat="1" ht="18" customHeight="1">
      <c r="A241" s="410"/>
      <c r="B241" s="732" t="s">
        <v>863</v>
      </c>
      <c r="C241" s="733"/>
      <c r="D241" s="411">
        <v>7600</v>
      </c>
      <c r="E241" s="412"/>
      <c r="F241" s="412">
        <f>SUM(E241-D241)</f>
        <v>-7600</v>
      </c>
    </row>
    <row r="242" spans="1:9" s="21" customFormat="1" ht="18" customHeight="1">
      <c r="A242" s="410"/>
      <c r="B242" s="732" t="s">
        <v>864</v>
      </c>
      <c r="C242" s="733"/>
      <c r="D242" s="411">
        <f>+Cabinetry!E47+Cabinetry!E49</f>
        <v>880</v>
      </c>
      <c r="E242" s="412"/>
      <c r="F242" s="412">
        <f t="shared" ref="F242:F251" si="2">SUM(E242-D242)</f>
        <v>-880</v>
      </c>
    </row>
    <row r="243" spans="1:9" s="21" customFormat="1" ht="18" customHeight="1">
      <c r="A243" s="410"/>
      <c r="B243" s="732" t="s">
        <v>865</v>
      </c>
      <c r="C243" s="733"/>
      <c r="D243" s="411">
        <v>200</v>
      </c>
      <c r="E243" s="412"/>
      <c r="F243" s="412">
        <f t="shared" si="2"/>
        <v>-200</v>
      </c>
      <c r="I243" s="95" t="s">
        <v>866</v>
      </c>
    </row>
    <row r="244" spans="1:9" s="21" customFormat="1" ht="18" customHeight="1">
      <c r="A244" s="410"/>
      <c r="B244" s="732" t="s">
        <v>867</v>
      </c>
      <c r="C244" s="733"/>
      <c r="D244" s="411" t="s">
        <v>309</v>
      </c>
      <c r="E244" s="412"/>
      <c r="F244" s="412">
        <v>0</v>
      </c>
    </row>
    <row r="245" spans="1:9" s="21" customFormat="1" ht="18" customHeight="1">
      <c r="A245" s="410"/>
      <c r="B245" s="732" t="s">
        <v>868</v>
      </c>
      <c r="C245" s="733"/>
      <c r="D245" s="411">
        <f>+Cabinetry!E66*2</f>
        <v>660</v>
      </c>
      <c r="E245" s="412"/>
      <c r="F245" s="412">
        <f t="shared" si="2"/>
        <v>-660</v>
      </c>
    </row>
    <row r="246" spans="1:9" s="21" customFormat="1" ht="18" customHeight="1">
      <c r="A246" s="410"/>
      <c r="B246" s="732" t="s">
        <v>869</v>
      </c>
      <c r="C246" s="733"/>
      <c r="D246" s="411">
        <f>+Cabinetry!E66</f>
        <v>330</v>
      </c>
      <c r="E246" s="412"/>
      <c r="F246" s="412">
        <f>SUM(E246-D246)</f>
        <v>-330</v>
      </c>
    </row>
    <row r="247" spans="1:9" s="21" customFormat="1" ht="18" customHeight="1">
      <c r="A247" s="410"/>
      <c r="B247" s="732" t="s">
        <v>870</v>
      </c>
      <c r="C247" s="733"/>
      <c r="D247" s="411">
        <f>+Cabinetry!E62</f>
        <v>250</v>
      </c>
      <c r="E247" s="412"/>
      <c r="F247" s="412">
        <f t="shared" si="2"/>
        <v>-250</v>
      </c>
    </row>
    <row r="248" spans="1:9" s="21" customFormat="1" ht="18" customHeight="1">
      <c r="A248" s="410"/>
      <c r="B248" s="732" t="s">
        <v>871</v>
      </c>
      <c r="C248" s="733"/>
      <c r="D248" s="411">
        <v>1000</v>
      </c>
      <c r="E248" s="412"/>
      <c r="F248" s="412">
        <f>SUM(E248-D248)</f>
        <v>-1000</v>
      </c>
    </row>
    <row r="249" spans="1:9" s="21" customFormat="1" ht="39.950000000000003" customHeight="1">
      <c r="A249" s="410"/>
      <c r="B249" s="732" t="s">
        <v>872</v>
      </c>
      <c r="C249" s="733"/>
      <c r="D249" s="411">
        <f>+Appliances!D11+Appliances!D12+Appliances!D13-Appliances!D3-Appliances!D4-Appliances!D5</f>
        <v>1520</v>
      </c>
      <c r="E249" s="412"/>
      <c r="F249" s="412">
        <f t="shared" si="2"/>
        <v>-1520</v>
      </c>
    </row>
    <row r="250" spans="1:9" s="21" customFormat="1" ht="18" customHeight="1">
      <c r="A250" s="410"/>
      <c r="B250" s="732" t="s">
        <v>873</v>
      </c>
      <c r="C250" s="733"/>
      <c r="D250" s="411">
        <f>+Cabinetry!E70-Cabinetry!E69</f>
        <v>190</v>
      </c>
      <c r="E250" s="412"/>
      <c r="F250" s="412">
        <f t="shared" si="2"/>
        <v>-190</v>
      </c>
    </row>
    <row r="251" spans="1:9" s="21" customFormat="1" ht="18" customHeight="1">
      <c r="A251" s="410"/>
      <c r="B251" s="732" t="s">
        <v>874</v>
      </c>
      <c r="C251" s="733"/>
      <c r="D251" s="411">
        <v>65</v>
      </c>
      <c r="E251" s="412"/>
      <c r="F251" s="412">
        <f t="shared" si="2"/>
        <v>-65</v>
      </c>
    </row>
    <row r="252" spans="1:9" s="21" customFormat="1" ht="18" customHeight="1">
      <c r="A252" s="410"/>
      <c r="B252" s="732" t="s">
        <v>875</v>
      </c>
      <c r="C252" s="733"/>
      <c r="D252" s="411">
        <f>+'Windows &amp; Sliding Doors'!D11-'Windows &amp; Sliding Doors'!D9</f>
        <v>160</v>
      </c>
      <c r="E252" s="412"/>
      <c r="F252" s="412">
        <f>SUM(E252-D252)</f>
        <v>-160</v>
      </c>
    </row>
    <row r="253" spans="1:9" s="21" customFormat="1" ht="18" customHeight="1">
      <c r="A253" s="410"/>
      <c r="B253" s="417" t="s">
        <v>876</v>
      </c>
      <c r="C253" s="414"/>
      <c r="D253" s="411"/>
      <c r="E253" s="412"/>
      <c r="F253" s="412"/>
    </row>
    <row r="254" spans="1:9" s="21" customFormat="1" ht="18" customHeight="1">
      <c r="A254" s="410"/>
      <c r="B254" s="732" t="s">
        <v>877</v>
      </c>
      <c r="C254" s="733"/>
      <c r="D254" s="411">
        <f>15*Cabinetry!E34</f>
        <v>1425</v>
      </c>
      <c r="E254" s="412"/>
      <c r="F254" s="412">
        <f t="shared" ref="F254:F259" si="3">SUM(E254-D254)</f>
        <v>-1425</v>
      </c>
      <c r="G254" s="420"/>
    </row>
    <row r="255" spans="1:9" s="21" customFormat="1" ht="18" customHeight="1">
      <c r="A255" s="410"/>
      <c r="B255" s="732" t="s">
        <v>878</v>
      </c>
      <c r="C255" s="733"/>
      <c r="D255" s="411">
        <f>+D246</f>
        <v>330</v>
      </c>
      <c r="E255" s="412"/>
      <c r="F255" s="412">
        <f t="shared" si="3"/>
        <v>-330</v>
      </c>
      <c r="G255" s="420"/>
    </row>
    <row r="256" spans="1:9" s="21" customFormat="1" ht="18" customHeight="1">
      <c r="A256" s="410"/>
      <c r="B256" s="732" t="s">
        <v>879</v>
      </c>
      <c r="C256" s="733"/>
      <c r="D256" s="411">
        <v>325</v>
      </c>
      <c r="E256" s="412"/>
      <c r="F256" s="412">
        <f t="shared" si="3"/>
        <v>-325</v>
      </c>
      <c r="G256" s="420"/>
    </row>
    <row r="257" spans="1:9" s="21" customFormat="1" ht="26.1" customHeight="1">
      <c r="A257" s="410"/>
      <c r="B257" s="732" t="s">
        <v>880</v>
      </c>
      <c r="C257" s="733"/>
      <c r="D257" s="411">
        <f>15*Cabinetry!E40</f>
        <v>975</v>
      </c>
      <c r="E257" s="412"/>
      <c r="F257" s="412">
        <f t="shared" si="3"/>
        <v>-975</v>
      </c>
      <c r="G257" s="420"/>
    </row>
    <row r="258" spans="1:9" s="21" customFormat="1" ht="18" customHeight="1">
      <c r="A258" s="410"/>
      <c r="B258" s="732" t="s">
        <v>881</v>
      </c>
      <c r="C258" s="733"/>
      <c r="D258" s="411">
        <v>765</v>
      </c>
      <c r="E258" s="412"/>
      <c r="F258" s="412">
        <f t="shared" si="3"/>
        <v>-765</v>
      </c>
      <c r="G258" s="420"/>
    </row>
    <row r="259" spans="1:9" s="21" customFormat="1" ht="18" customHeight="1">
      <c r="A259" s="410"/>
      <c r="B259" s="741" t="s">
        <v>882</v>
      </c>
      <c r="C259" s="742"/>
      <c r="D259" s="411">
        <f>+'Windows &amp; Sliding Doors'!D9</f>
        <v>315</v>
      </c>
      <c r="E259" s="412"/>
      <c r="F259" s="412">
        <f t="shared" si="3"/>
        <v>-315</v>
      </c>
      <c r="G259" s="420"/>
    </row>
    <row r="260" spans="1:9" s="21" customFormat="1" ht="17.25" customHeight="1">
      <c r="A260" s="410"/>
      <c r="B260" s="417" t="s">
        <v>883</v>
      </c>
      <c r="C260" s="414"/>
      <c r="D260" s="411"/>
      <c r="E260" s="412"/>
      <c r="F260" s="412"/>
      <c r="G260" s="421"/>
    </row>
    <row r="261" spans="1:9" s="21" customFormat="1" ht="18" customHeight="1">
      <c r="A261" s="410"/>
      <c r="B261" s="741" t="s">
        <v>884</v>
      </c>
      <c r="C261" s="742"/>
      <c r="D261" s="411">
        <f>2*'Robes &amp; Shelving'!D20</f>
        <v>1020</v>
      </c>
      <c r="E261" s="412"/>
      <c r="F261" s="412">
        <f>SUM(E261-D261)</f>
        <v>-1020</v>
      </c>
    </row>
    <row r="262" spans="1:9" s="21" customFormat="1" ht="17.25" customHeight="1">
      <c r="A262" s="410"/>
      <c r="B262" s="417" t="s">
        <v>463</v>
      </c>
      <c r="C262" s="414"/>
      <c r="D262" s="411"/>
      <c r="E262" s="412"/>
      <c r="F262" s="412"/>
    </row>
    <row r="263" spans="1:9" s="21" customFormat="1" ht="26.1" customHeight="1">
      <c r="A263" s="410"/>
      <c r="B263" s="732" t="s">
        <v>885</v>
      </c>
      <c r="C263" s="733"/>
      <c r="D263" s="411">
        <f>18*Cabinetry!E11</f>
        <v>900</v>
      </c>
      <c r="E263" s="412"/>
      <c r="F263" s="412">
        <f t="shared" ref="F263:F272" si="4">SUM(E263-D263)</f>
        <v>-900</v>
      </c>
    </row>
    <row r="264" spans="1:9" s="21" customFormat="1" ht="18" customHeight="1">
      <c r="A264" s="410"/>
      <c r="B264" s="732" t="s">
        <v>886</v>
      </c>
      <c r="C264" s="733"/>
      <c r="D264" s="411">
        <v>920</v>
      </c>
      <c r="E264" s="412"/>
      <c r="F264" s="412">
        <f t="shared" si="4"/>
        <v>-920</v>
      </c>
    </row>
    <row r="265" spans="1:9" s="21" customFormat="1" ht="18" customHeight="1">
      <c r="A265" s="410"/>
      <c r="B265" s="732" t="s">
        <v>887</v>
      </c>
      <c r="C265" s="733"/>
      <c r="D265" s="411">
        <v>110</v>
      </c>
      <c r="E265" s="412"/>
      <c r="F265" s="412">
        <f t="shared" si="4"/>
        <v>-110</v>
      </c>
    </row>
    <row r="266" spans="1:9" s="21" customFormat="1" ht="18" customHeight="1">
      <c r="A266" s="410"/>
      <c r="B266" s="732" t="s">
        <v>888</v>
      </c>
      <c r="C266" s="733"/>
      <c r="D266" s="411">
        <v>120</v>
      </c>
      <c r="E266" s="412"/>
      <c r="F266" s="412">
        <f t="shared" si="4"/>
        <v>-120</v>
      </c>
    </row>
    <row r="267" spans="1:9" s="21" customFormat="1" ht="26.1" customHeight="1">
      <c r="A267" s="410"/>
      <c r="B267" s="732" t="s">
        <v>889</v>
      </c>
      <c r="C267" s="733"/>
      <c r="D267" s="411">
        <v>240</v>
      </c>
      <c r="E267" s="412"/>
      <c r="F267" s="412">
        <f t="shared" si="4"/>
        <v>-240</v>
      </c>
    </row>
    <row r="268" spans="1:9" s="21" customFormat="1" ht="26.1" customHeight="1">
      <c r="A268" s="410"/>
      <c r="B268" s="732" t="s">
        <v>890</v>
      </c>
      <c r="C268" s="743"/>
      <c r="D268" s="411">
        <v>79</v>
      </c>
      <c r="E268" s="422"/>
      <c r="F268" s="412">
        <f t="shared" si="4"/>
        <v>-79</v>
      </c>
    </row>
    <row r="269" spans="1:9" s="95" customFormat="1" ht="26.1" customHeight="1">
      <c r="A269" s="410"/>
      <c r="B269" s="732" t="s">
        <v>891</v>
      </c>
      <c r="C269" s="743"/>
      <c r="D269" s="411">
        <v>300</v>
      </c>
      <c r="E269" s="412"/>
      <c r="F269" s="412">
        <f t="shared" si="4"/>
        <v>-300</v>
      </c>
    </row>
    <row r="270" spans="1:9" s="95" customFormat="1" ht="18" customHeight="1">
      <c r="A270" s="410"/>
      <c r="B270" s="732" t="s">
        <v>892</v>
      </c>
      <c r="C270" s="743"/>
      <c r="D270" s="411" t="s">
        <v>309</v>
      </c>
      <c r="E270" s="412"/>
      <c r="F270" s="412">
        <v>0</v>
      </c>
      <c r="I270" s="95" t="s">
        <v>893</v>
      </c>
    </row>
    <row r="271" spans="1:9" s="95" customFormat="1" ht="18" customHeight="1">
      <c r="A271" s="410"/>
      <c r="B271" s="732" t="s">
        <v>894</v>
      </c>
      <c r="C271" s="743"/>
      <c r="D271" s="411">
        <v>80</v>
      </c>
      <c r="E271" s="412"/>
      <c r="F271" s="412">
        <f t="shared" si="4"/>
        <v>-80</v>
      </c>
    </row>
    <row r="272" spans="1:9" s="95" customFormat="1" ht="18" customHeight="1">
      <c r="A272" s="410"/>
      <c r="B272" s="732" t="s">
        <v>895</v>
      </c>
      <c r="C272" s="743"/>
      <c r="D272" s="411">
        <f>14*'House extension'!D40</f>
        <v>210</v>
      </c>
      <c r="E272" s="412"/>
      <c r="F272" s="412">
        <f t="shared" si="4"/>
        <v>-210</v>
      </c>
    </row>
    <row r="273" spans="1:7" s="95" customFormat="1" ht="18" customHeight="1">
      <c r="A273" s="410"/>
      <c r="B273" s="417" t="s">
        <v>896</v>
      </c>
      <c r="C273" s="413"/>
      <c r="D273" s="411"/>
      <c r="E273" s="412"/>
      <c r="F273" s="412"/>
    </row>
    <row r="274" spans="1:7" s="21" customFormat="1" ht="26.1" customHeight="1">
      <c r="A274" s="410"/>
      <c r="B274" s="732" t="s">
        <v>897</v>
      </c>
      <c r="C274" s="733"/>
      <c r="D274" s="411">
        <f>9*Cabinetry!E11</f>
        <v>450</v>
      </c>
      <c r="E274" s="412"/>
      <c r="F274" s="412">
        <f>SUM(E274-D274)</f>
        <v>-450</v>
      </c>
    </row>
    <row r="275" spans="1:7" s="21" customFormat="1" ht="18" customHeight="1">
      <c r="A275" s="410"/>
      <c r="B275" s="732" t="s">
        <v>898</v>
      </c>
      <c r="C275" s="733"/>
      <c r="D275" s="411">
        <v>460</v>
      </c>
      <c r="E275" s="412"/>
      <c r="F275" s="412">
        <f t="shared" ref="F275:F281" si="5">SUM(E275-D275)</f>
        <v>-460</v>
      </c>
    </row>
    <row r="276" spans="1:7" s="21" customFormat="1" ht="18" customHeight="1">
      <c r="A276" s="410"/>
      <c r="B276" s="732" t="s">
        <v>887</v>
      </c>
      <c r="C276" s="733"/>
      <c r="D276" s="411">
        <v>80</v>
      </c>
      <c r="E276" s="412"/>
      <c r="F276" s="412">
        <f t="shared" si="5"/>
        <v>-80</v>
      </c>
    </row>
    <row r="277" spans="1:7" s="21" customFormat="1" ht="18" customHeight="1">
      <c r="A277" s="410"/>
      <c r="B277" s="732" t="s">
        <v>899</v>
      </c>
      <c r="C277" s="733"/>
      <c r="D277" s="411">
        <v>60</v>
      </c>
      <c r="E277" s="412"/>
      <c r="F277" s="412">
        <f t="shared" si="5"/>
        <v>-60</v>
      </c>
    </row>
    <row r="278" spans="1:7" s="21" customFormat="1" ht="25.5" customHeight="1">
      <c r="A278" s="410"/>
      <c r="B278" s="732" t="s">
        <v>900</v>
      </c>
      <c r="C278" s="733"/>
      <c r="D278" s="411">
        <v>200</v>
      </c>
      <c r="E278" s="412"/>
      <c r="F278" s="412">
        <f t="shared" si="5"/>
        <v>-200</v>
      </c>
    </row>
    <row r="279" spans="1:7" s="21" customFormat="1" ht="26.1" customHeight="1">
      <c r="A279" s="410"/>
      <c r="B279" s="732" t="s">
        <v>890</v>
      </c>
      <c r="C279" s="743"/>
      <c r="D279" s="411">
        <v>79</v>
      </c>
      <c r="E279" s="422"/>
      <c r="F279" s="412">
        <f t="shared" si="5"/>
        <v>-79</v>
      </c>
    </row>
    <row r="280" spans="1:7" s="95" customFormat="1" ht="26.1" customHeight="1">
      <c r="A280" s="410"/>
      <c r="B280" s="732" t="s">
        <v>901</v>
      </c>
      <c r="C280" s="743"/>
      <c r="D280" s="411">
        <v>300</v>
      </c>
      <c r="E280" s="412"/>
      <c r="F280" s="412">
        <f t="shared" si="5"/>
        <v>-300</v>
      </c>
    </row>
    <row r="281" spans="1:7" s="95" customFormat="1" ht="18" customHeight="1">
      <c r="A281" s="410"/>
      <c r="B281" s="732" t="s">
        <v>894</v>
      </c>
      <c r="C281" s="743"/>
      <c r="D281" s="411">
        <v>80</v>
      </c>
      <c r="E281" s="412"/>
      <c r="F281" s="412">
        <f t="shared" si="5"/>
        <v>-80</v>
      </c>
    </row>
    <row r="282" spans="1:7" s="95" customFormat="1" ht="18" customHeight="1">
      <c r="A282" s="410"/>
      <c r="B282" s="417" t="s">
        <v>388</v>
      </c>
      <c r="C282" s="413"/>
      <c r="D282" s="411"/>
      <c r="E282" s="412"/>
      <c r="F282" s="412"/>
    </row>
    <row r="283" spans="1:7" s="95" customFormat="1" ht="18" customHeight="1">
      <c r="A283" s="410"/>
      <c r="B283" s="732" t="s">
        <v>902</v>
      </c>
      <c r="C283" s="743"/>
      <c r="D283" s="411">
        <f>9*Cabinetry!E19</f>
        <v>495</v>
      </c>
      <c r="E283" s="412"/>
      <c r="F283" s="412">
        <f>SUM(E283-D283)</f>
        <v>-495</v>
      </c>
    </row>
    <row r="284" spans="1:7" s="21" customFormat="1" ht="18" customHeight="1">
      <c r="A284" s="410"/>
      <c r="B284" s="741" t="s">
        <v>903</v>
      </c>
      <c r="C284" s="742"/>
      <c r="D284" s="411">
        <f>+'Windows &amp; Sliding Doors'!V33</f>
        <v>555</v>
      </c>
      <c r="E284" s="412"/>
      <c r="F284" s="412">
        <f>SUM(E284-D284)</f>
        <v>-555</v>
      </c>
    </row>
    <row r="285" spans="1:7" s="95" customFormat="1" ht="18" customHeight="1">
      <c r="A285" s="410"/>
      <c r="B285" s="417" t="s">
        <v>465</v>
      </c>
      <c r="C285" s="413"/>
      <c r="D285" s="411"/>
      <c r="E285" s="412"/>
      <c r="F285" s="412"/>
    </row>
    <row r="286" spans="1:7" s="95" customFormat="1" ht="18" customHeight="1">
      <c r="A286" s="410"/>
      <c r="B286" s="732" t="s">
        <v>904</v>
      </c>
      <c r="C286" s="743"/>
      <c r="D286" s="411">
        <f>44*Electrical!D33</f>
        <v>880</v>
      </c>
      <c r="E286" s="412"/>
      <c r="F286" s="412">
        <f>SUM(E286-D286)</f>
        <v>-880</v>
      </c>
      <c r="G286" s="95" t="s">
        <v>905</v>
      </c>
    </row>
    <row r="287" spans="1:7" s="95" customFormat="1" ht="18" customHeight="1">
      <c r="A287" s="410"/>
      <c r="B287" s="732" t="s">
        <v>906</v>
      </c>
      <c r="C287" s="743"/>
      <c r="D287" s="411">
        <f>6*Electrical!D34</f>
        <v>180</v>
      </c>
      <c r="E287" s="412"/>
      <c r="F287" s="412">
        <f>SUM(E287-D287)</f>
        <v>-180</v>
      </c>
    </row>
    <row r="288" spans="1:7" s="95" customFormat="1" ht="18" customHeight="1">
      <c r="A288" s="410"/>
      <c r="B288" s="732" t="s">
        <v>907</v>
      </c>
      <c r="C288" s="743"/>
      <c r="D288" s="411" t="s">
        <v>919</v>
      </c>
      <c r="E288" s="412"/>
      <c r="F288" s="412">
        <v>0</v>
      </c>
    </row>
    <row r="289" spans="1:6" s="95" customFormat="1" ht="18" customHeight="1">
      <c r="A289" s="410"/>
      <c r="B289" s="732" t="s">
        <v>908</v>
      </c>
      <c r="C289" s="743"/>
      <c r="D289" s="411" t="s">
        <v>919</v>
      </c>
      <c r="E289" s="412"/>
      <c r="F289" s="412">
        <v>0</v>
      </c>
    </row>
    <row r="290" spans="1:6" s="95" customFormat="1" ht="18" customHeight="1">
      <c r="A290" s="410"/>
      <c r="B290" s="732" t="s">
        <v>909</v>
      </c>
      <c r="C290" s="743"/>
      <c r="D290" s="411" t="s">
        <v>919</v>
      </c>
      <c r="E290" s="412"/>
      <c r="F290" s="412">
        <v>0</v>
      </c>
    </row>
    <row r="291" spans="1:6" s="95" customFormat="1" ht="18" customHeight="1">
      <c r="A291" s="410"/>
      <c r="B291" s="732" t="s">
        <v>910</v>
      </c>
      <c r="C291" s="743"/>
      <c r="D291" s="411" t="s">
        <v>919</v>
      </c>
      <c r="E291" s="412"/>
      <c r="F291" s="412">
        <v>0</v>
      </c>
    </row>
    <row r="292" spans="1:6" s="95" customFormat="1" ht="18" customHeight="1">
      <c r="A292" s="410"/>
      <c r="B292" s="732" t="s">
        <v>911</v>
      </c>
      <c r="C292" s="743"/>
      <c r="D292" s="411" t="s">
        <v>919</v>
      </c>
      <c r="E292" s="412"/>
      <c r="F292" s="412">
        <v>0</v>
      </c>
    </row>
    <row r="293" spans="1:6" s="95" customFormat="1" ht="18" customHeight="1">
      <c r="A293" s="410"/>
      <c r="B293" s="732" t="s">
        <v>912</v>
      </c>
      <c r="C293" s="743"/>
      <c r="D293" s="411" t="s">
        <v>919</v>
      </c>
      <c r="E293" s="412"/>
      <c r="F293" s="412">
        <v>0</v>
      </c>
    </row>
    <row r="294" spans="1:6" s="95" customFormat="1" ht="18" customHeight="1">
      <c r="A294" s="410"/>
      <c r="B294" s="732" t="s">
        <v>913</v>
      </c>
      <c r="C294" s="743"/>
      <c r="D294" s="411" t="s">
        <v>919</v>
      </c>
      <c r="E294" s="412"/>
      <c r="F294" s="412">
        <v>0</v>
      </c>
    </row>
    <row r="295" spans="1:6" s="95" customFormat="1" ht="18" customHeight="1">
      <c r="A295" s="410"/>
      <c r="B295" s="732" t="s">
        <v>914</v>
      </c>
      <c r="C295" s="743"/>
      <c r="D295" s="411" t="s">
        <v>919</v>
      </c>
      <c r="E295" s="412"/>
      <c r="F295" s="412">
        <v>0</v>
      </c>
    </row>
    <row r="296" spans="1:6" s="95" customFormat="1" ht="18" customHeight="1">
      <c r="A296" s="410"/>
      <c r="B296" s="417" t="s">
        <v>400</v>
      </c>
      <c r="C296" s="413"/>
      <c r="D296" s="411"/>
      <c r="E296" s="412"/>
      <c r="F296" s="412"/>
    </row>
    <row r="297" spans="1:6" s="95" customFormat="1" ht="18" customHeight="1">
      <c r="A297" s="410"/>
      <c r="B297" s="732" t="s">
        <v>915</v>
      </c>
      <c r="C297" s="743"/>
      <c r="D297" s="411">
        <v>950</v>
      </c>
      <c r="E297" s="412"/>
      <c r="F297" s="412">
        <f>SUM(E297-D297)</f>
        <v>-950</v>
      </c>
    </row>
    <row r="298" spans="1:6" s="95" customFormat="1" ht="18" customHeight="1">
      <c r="A298" s="410"/>
      <c r="B298" s="732" t="s">
        <v>679</v>
      </c>
      <c r="C298" s="743"/>
      <c r="D298" s="411">
        <f>+Electrical!D17</f>
        <v>590</v>
      </c>
      <c r="E298" s="412"/>
      <c r="F298" s="412">
        <f>SUM(E298-D298)</f>
        <v>-590</v>
      </c>
    </row>
    <row r="299" spans="1:6" s="95" customFormat="1" ht="18" customHeight="1">
      <c r="A299" s="410"/>
      <c r="B299" s="732" t="s">
        <v>916</v>
      </c>
      <c r="C299" s="743"/>
      <c r="D299" s="411">
        <f>36*Electrical!D30</f>
        <v>2700</v>
      </c>
      <c r="E299" s="412"/>
      <c r="F299" s="412">
        <f>SUM(E299-D299)</f>
        <v>-2700</v>
      </c>
    </row>
    <row r="300" spans="1:6" s="95" customFormat="1" ht="18" customHeight="1">
      <c r="A300" s="410"/>
      <c r="B300" s="732" t="s">
        <v>917</v>
      </c>
      <c r="C300" s="743"/>
      <c r="D300" s="411">
        <f>61*Electrical!D31</f>
        <v>5490</v>
      </c>
      <c r="E300" s="412"/>
      <c r="F300" s="412">
        <f>SUM(E300-D300)</f>
        <v>-5490</v>
      </c>
    </row>
    <row r="301" spans="1:6" s="95" customFormat="1" ht="18" customHeight="1">
      <c r="A301" s="410"/>
      <c r="B301" s="732" t="s">
        <v>918</v>
      </c>
      <c r="C301" s="743"/>
      <c r="D301" s="411">
        <f>2*Electrical!D45</f>
        <v>370</v>
      </c>
      <c r="E301" s="412"/>
      <c r="F301" s="412">
        <f>SUM(E301-D301)</f>
        <v>-370</v>
      </c>
    </row>
    <row r="302" spans="1:6" s="95" customFormat="1" ht="18.600000000000001" customHeight="1">
      <c r="A302" s="410"/>
      <c r="B302" s="417" t="s">
        <v>412</v>
      </c>
      <c r="C302" s="413"/>
      <c r="D302" s="411"/>
      <c r="E302" s="412"/>
      <c r="F302" s="412"/>
    </row>
    <row r="303" spans="1:6" s="95" customFormat="1" ht="26.1" customHeight="1">
      <c r="A303" s="410"/>
      <c r="B303" s="732" t="s">
        <v>920</v>
      </c>
      <c r="C303" s="743"/>
      <c r="D303" s="411">
        <v>250</v>
      </c>
      <c r="E303" s="412"/>
      <c r="F303" s="412">
        <f>SUM(E303-D303)</f>
        <v>-250</v>
      </c>
    </row>
    <row r="304" spans="1:6" s="95" customFormat="1" ht="18" customHeight="1">
      <c r="A304" s="410"/>
      <c r="B304" s="732" t="s">
        <v>921</v>
      </c>
      <c r="C304" s="743"/>
      <c r="D304" s="411">
        <v>13300</v>
      </c>
      <c r="E304" s="412"/>
      <c r="F304" s="412">
        <f>SUM(E304-D304)</f>
        <v>-13300</v>
      </c>
    </row>
    <row r="305" spans="1:6" s="95" customFormat="1" ht="18" customHeight="1">
      <c r="A305" s="410"/>
      <c r="B305" s="732" t="s">
        <v>922</v>
      </c>
      <c r="C305" s="743"/>
      <c r="D305" s="411">
        <v>2750</v>
      </c>
      <c r="E305" s="412"/>
      <c r="F305" s="412">
        <f>SUM(E305-D305)</f>
        <v>-2750</v>
      </c>
    </row>
    <row r="306" spans="1:6" s="95" customFormat="1" ht="18" customHeight="1">
      <c r="A306" s="410"/>
      <c r="B306" s="732" t="s">
        <v>923</v>
      </c>
      <c r="C306" s="743"/>
      <c r="D306" s="411">
        <v>1980</v>
      </c>
      <c r="E306" s="412"/>
      <c r="F306" s="412">
        <f>SUM(E306-D306)</f>
        <v>-1980</v>
      </c>
    </row>
    <row r="307" spans="1:6" s="95" customFormat="1" ht="18" customHeight="1">
      <c r="A307" s="410"/>
      <c r="B307" s="417" t="s">
        <v>421</v>
      </c>
      <c r="C307" s="413"/>
      <c r="D307" s="411"/>
      <c r="E307" s="412"/>
      <c r="F307" s="412"/>
    </row>
    <row r="308" spans="1:6" s="95" customFormat="1" ht="18" customHeight="1">
      <c r="A308" s="410"/>
      <c r="B308" s="732" t="s">
        <v>924</v>
      </c>
      <c r="C308" s="743"/>
      <c r="D308" s="411">
        <f>CEILING(27*'Floor Coverings'!D10+14*'House extension'!D40*2,10)</f>
        <v>3210</v>
      </c>
      <c r="E308" s="412"/>
      <c r="F308" s="412">
        <f>SUM(E308-D308)</f>
        <v>-3210</v>
      </c>
    </row>
    <row r="309" spans="1:6" s="95" customFormat="1" ht="18" customHeight="1">
      <c r="A309" s="410"/>
      <c r="B309" s="732" t="s">
        <v>925</v>
      </c>
      <c r="C309" s="743"/>
      <c r="D309" s="411">
        <v>3700</v>
      </c>
      <c r="E309" s="412"/>
      <c r="F309" s="412">
        <f>SUM(E309-D309)</f>
        <v>-3700</v>
      </c>
    </row>
    <row r="310" spans="1:6" s="95" customFormat="1" ht="18" customHeight="1">
      <c r="A310" s="410"/>
      <c r="B310" s="732" t="s">
        <v>926</v>
      </c>
      <c r="C310" s="743"/>
      <c r="D310" s="411">
        <f>CEILING(12*'Floor Coverings'!D10,10)</f>
        <v>1240</v>
      </c>
      <c r="E310" s="412"/>
      <c r="F310" s="412">
        <f>SUM(E310-D310)</f>
        <v>-1240</v>
      </c>
    </row>
    <row r="311" spans="1:6" s="95" customFormat="1" ht="18" customHeight="1">
      <c r="A311" s="410"/>
      <c r="B311" s="732" t="s">
        <v>927</v>
      </c>
      <c r="C311" s="743"/>
      <c r="D311" s="411">
        <v>3700</v>
      </c>
      <c r="E311" s="412"/>
      <c r="F311" s="412">
        <f>SUM(E311-D311)</f>
        <v>-3700</v>
      </c>
    </row>
    <row r="312" spans="1:6" s="95" customFormat="1" ht="18" customHeight="1">
      <c r="A312" s="410"/>
      <c r="B312" s="732" t="s">
        <v>928</v>
      </c>
      <c r="C312" s="743"/>
      <c r="D312" s="411">
        <v>5500</v>
      </c>
      <c r="E312" s="412"/>
      <c r="F312" s="412">
        <f>SUM(E312-D312)</f>
        <v>-5500</v>
      </c>
    </row>
    <row r="313" spans="1:6" s="95" customFormat="1" ht="18" customHeight="1">
      <c r="A313" s="410"/>
      <c r="B313" s="732" t="s">
        <v>929</v>
      </c>
      <c r="C313" s="743"/>
      <c r="D313" s="411" t="s">
        <v>919</v>
      </c>
      <c r="E313" s="412"/>
      <c r="F313" s="412">
        <v>0</v>
      </c>
    </row>
    <row r="314" spans="1:6" s="95" customFormat="1" ht="18" customHeight="1">
      <c r="A314" s="410"/>
      <c r="B314" s="417" t="s">
        <v>930</v>
      </c>
      <c r="C314" s="413"/>
      <c r="D314" s="411"/>
      <c r="E314" s="412"/>
      <c r="F314" s="412"/>
    </row>
    <row r="315" spans="1:6" s="95" customFormat="1" ht="18" customHeight="1">
      <c r="A315" s="410"/>
      <c r="B315" s="732" t="s">
        <v>931</v>
      </c>
      <c r="C315" s="743"/>
      <c r="D315" s="411">
        <v>5000</v>
      </c>
      <c r="E315" s="412"/>
      <c r="F315" s="412">
        <f>SUM(E315-D315)</f>
        <v>-5000</v>
      </c>
    </row>
    <row r="316" spans="1:6" s="95" customFormat="1" ht="18" customHeight="1">
      <c r="A316" s="410"/>
      <c r="B316" s="417" t="s">
        <v>425</v>
      </c>
      <c r="C316" s="413"/>
      <c r="D316" s="411"/>
      <c r="E316" s="412"/>
      <c r="F316" s="412"/>
    </row>
    <row r="317" spans="1:6" s="95" customFormat="1" ht="18" customHeight="1">
      <c r="A317" s="410"/>
      <c r="B317" s="732" t="s">
        <v>932</v>
      </c>
      <c r="C317" s="743"/>
      <c r="D317" s="411"/>
      <c r="E317" s="412"/>
      <c r="F317" s="412">
        <f>SUM(E317-D317)</f>
        <v>0</v>
      </c>
    </row>
    <row r="318" spans="1:6" s="95" customFormat="1" ht="18" customHeight="1">
      <c r="A318" s="410"/>
      <c r="B318" s="732" t="s">
        <v>933</v>
      </c>
      <c r="C318" s="743"/>
      <c r="D318" s="411">
        <f>+'Yard Items'!D33</f>
        <v>400</v>
      </c>
      <c r="E318" s="412"/>
      <c r="F318" s="412">
        <f>SUM(E318-D318)</f>
        <v>-400</v>
      </c>
    </row>
    <row r="319" spans="1:6" s="95" customFormat="1" ht="18" customHeight="1">
      <c r="A319" s="410"/>
      <c r="B319" s="732" t="s">
        <v>934</v>
      </c>
      <c r="C319" s="743"/>
      <c r="D319" s="411"/>
      <c r="E319" s="412"/>
      <c r="F319" s="412">
        <f>SUM(E319-D319)</f>
        <v>0</v>
      </c>
    </row>
    <row r="320" spans="1:6" s="95" customFormat="1" ht="18" customHeight="1">
      <c r="A320" s="410"/>
      <c r="B320" s="417" t="s">
        <v>427</v>
      </c>
      <c r="C320" s="413"/>
      <c r="D320" s="411"/>
      <c r="E320" s="412"/>
      <c r="F320" s="412"/>
    </row>
    <row r="321" spans="1:7" s="95" customFormat="1" ht="18" customHeight="1">
      <c r="A321" s="410"/>
      <c r="B321" s="732" t="s">
        <v>935</v>
      </c>
      <c r="C321" s="743"/>
      <c r="D321" s="411"/>
      <c r="E321" s="412"/>
      <c r="F321" s="412">
        <f t="shared" ref="F321:F328" si="6">SUM(E321-D321)</f>
        <v>0</v>
      </c>
    </row>
    <row r="322" spans="1:7" s="95" customFormat="1" ht="18" customHeight="1">
      <c r="A322" s="410"/>
      <c r="B322" s="732" t="s">
        <v>936</v>
      </c>
      <c r="C322" s="743"/>
      <c r="D322" s="411"/>
      <c r="E322" s="412"/>
      <c r="F322" s="412">
        <f t="shared" si="6"/>
        <v>0</v>
      </c>
    </row>
    <row r="323" spans="1:7" s="95" customFormat="1" ht="18" customHeight="1">
      <c r="A323" s="410"/>
      <c r="B323" s="732" t="s">
        <v>937</v>
      </c>
      <c r="C323" s="743"/>
      <c r="D323" s="411"/>
      <c r="E323" s="412"/>
      <c r="F323" s="412">
        <f t="shared" si="6"/>
        <v>0</v>
      </c>
    </row>
    <row r="324" spans="1:7" s="95" customFormat="1" ht="18" customHeight="1">
      <c r="A324" s="410"/>
      <c r="B324" s="732" t="s">
        <v>938</v>
      </c>
      <c r="C324" s="743"/>
      <c r="D324" s="411"/>
      <c r="E324" s="412"/>
      <c r="F324" s="412">
        <f t="shared" si="6"/>
        <v>0</v>
      </c>
    </row>
    <row r="325" spans="1:7" s="95" customFormat="1" ht="18" customHeight="1">
      <c r="A325" s="410"/>
      <c r="B325" s="732" t="s">
        <v>939</v>
      </c>
      <c r="C325" s="743"/>
      <c r="D325" s="411"/>
      <c r="E325" s="412"/>
      <c r="F325" s="412">
        <f t="shared" si="6"/>
        <v>0</v>
      </c>
    </row>
    <row r="326" spans="1:7" s="95" customFormat="1" ht="18" customHeight="1">
      <c r="A326" s="410"/>
      <c r="B326" s="732" t="s">
        <v>940</v>
      </c>
      <c r="C326" s="743"/>
      <c r="D326" s="411"/>
      <c r="E326" s="412"/>
      <c r="F326" s="412">
        <f t="shared" si="6"/>
        <v>0</v>
      </c>
    </row>
    <row r="327" spans="1:7" s="95" customFormat="1" ht="18" customHeight="1">
      <c r="A327" s="410"/>
      <c r="B327" s="732" t="s">
        <v>941</v>
      </c>
      <c r="C327" s="743"/>
      <c r="D327" s="411"/>
      <c r="E327" s="412"/>
      <c r="F327" s="412">
        <f t="shared" si="6"/>
        <v>0</v>
      </c>
    </row>
    <row r="328" spans="1:7" s="95" customFormat="1" ht="18" customHeight="1">
      <c r="A328" s="410"/>
      <c r="B328" s="732" t="s">
        <v>942</v>
      </c>
      <c r="C328" s="743"/>
      <c r="D328" s="411"/>
      <c r="E328" s="412"/>
      <c r="F328" s="412">
        <f t="shared" si="6"/>
        <v>0</v>
      </c>
    </row>
    <row r="329" spans="1:7" s="175" customFormat="1" ht="18" customHeight="1">
      <c r="A329" s="155"/>
      <c r="B329" s="734" t="s">
        <v>472</v>
      </c>
      <c r="C329" s="735"/>
      <c r="D329" s="212">
        <f>SUM(D186:D328)</f>
        <v>156693</v>
      </c>
      <c r="E329" s="212">
        <f>SUM(E186:E328)</f>
        <v>0</v>
      </c>
      <c r="F329" s="423">
        <f>SUM(F186:F328)</f>
        <v>-156693</v>
      </c>
      <c r="G329" s="213"/>
    </row>
    <row r="330" spans="1:7" s="175" customFormat="1" ht="18" customHeight="1">
      <c r="A330" s="155"/>
      <c r="B330" s="214"/>
      <c r="C330" s="215" t="s">
        <v>473</v>
      </c>
      <c r="D330" s="736">
        <f>SUM(D329)</f>
        <v>156693</v>
      </c>
      <c r="E330" s="737"/>
      <c r="F330" s="738"/>
    </row>
    <row r="331" spans="1:7" s="175" customFormat="1" ht="18" customHeight="1">
      <c r="A331" s="155"/>
      <c r="B331" s="214"/>
      <c r="C331" s="215"/>
      <c r="D331" s="216"/>
      <c r="E331" s="216"/>
      <c r="F331" s="217"/>
    </row>
    <row r="332" spans="1:7" s="175" customFormat="1" ht="18" customHeight="1" thickBot="1">
      <c r="A332" s="155"/>
      <c r="B332" s="739" t="s">
        <v>474</v>
      </c>
      <c r="C332" s="740"/>
      <c r="D332" s="218"/>
      <c r="E332" s="218"/>
      <c r="F332" s="219"/>
    </row>
    <row r="333" spans="1:7" s="175" customFormat="1" ht="18" customHeight="1" thickBot="1">
      <c r="A333" s="155"/>
      <c r="B333" s="220"/>
      <c r="C333" s="221"/>
      <c r="D333" s="222"/>
      <c r="E333" s="222"/>
      <c r="F333" s="222"/>
    </row>
    <row r="334" spans="1:7" s="175" customFormat="1" ht="18" customHeight="1">
      <c r="A334" s="155"/>
      <c r="B334" s="223"/>
      <c r="C334" s="224"/>
      <c r="D334" s="225"/>
      <c r="E334" s="225"/>
      <c r="F334" s="226"/>
    </row>
    <row r="335" spans="1:7" ht="18" customHeight="1">
      <c r="B335" s="227"/>
      <c r="C335" s="221"/>
      <c r="D335" s="222"/>
      <c r="E335" s="222"/>
      <c r="F335" s="228"/>
      <c r="G335" s="220"/>
    </row>
    <row r="336" spans="1:7" ht="18" customHeight="1">
      <c r="A336" s="216"/>
      <c r="B336" s="227"/>
      <c r="C336" s="221"/>
      <c r="D336" s="222"/>
      <c r="E336" s="222"/>
      <c r="F336" s="228"/>
    </row>
    <row r="337" spans="1:6" ht="18" customHeight="1">
      <c r="A337" s="216"/>
      <c r="B337" s="227"/>
      <c r="C337" s="221"/>
      <c r="D337" s="222"/>
      <c r="E337" s="222"/>
      <c r="F337" s="228"/>
    </row>
    <row r="338" spans="1:6" ht="18" customHeight="1">
      <c r="A338" s="216"/>
      <c r="B338" s="229"/>
      <c r="F338" s="147"/>
    </row>
    <row r="339" spans="1:6" ht="18" customHeight="1">
      <c r="A339" s="216"/>
      <c r="B339" s="229"/>
      <c r="F339" s="147"/>
    </row>
    <row r="340" spans="1:6" ht="18" customHeight="1">
      <c r="A340" s="216"/>
      <c r="B340" s="229"/>
      <c r="F340" s="147"/>
    </row>
    <row r="341" spans="1:6" ht="18" customHeight="1">
      <c r="A341" s="216"/>
      <c r="B341" s="229"/>
      <c r="F341" s="147"/>
    </row>
    <row r="342" spans="1:6" ht="18" customHeight="1">
      <c r="A342" s="216"/>
      <c r="B342" s="213"/>
      <c r="C342" s="230" t="s">
        <v>475</v>
      </c>
      <c r="D342" s="155"/>
      <c r="E342" s="155"/>
      <c r="F342" s="231"/>
    </row>
    <row r="343" spans="1:6" ht="18" customHeight="1">
      <c r="A343" s="216"/>
      <c r="B343" s="232" t="s">
        <v>476</v>
      </c>
      <c r="C343" s="155" t="s">
        <v>477</v>
      </c>
      <c r="D343" s="155"/>
      <c r="E343" s="155" t="s">
        <v>478</v>
      </c>
      <c r="F343" s="231"/>
    </row>
    <row r="344" spans="1:6" ht="18" customHeight="1">
      <c r="B344" s="233"/>
      <c r="C344" s="234"/>
      <c r="D344" s="424"/>
      <c r="E344" s="425"/>
      <c r="F344" s="231"/>
    </row>
    <row r="345" spans="1:6" ht="18" customHeight="1">
      <c r="B345" s="426">
        <v>0.05</v>
      </c>
      <c r="C345" s="238" t="s">
        <v>479</v>
      </c>
      <c r="D345" s="241"/>
      <c r="E345" s="242">
        <f>D330*0.05</f>
        <v>7834.6500000000005</v>
      </c>
      <c r="F345" s="231"/>
    </row>
    <row r="346" spans="1:6" ht="18" customHeight="1">
      <c r="B346" s="426">
        <v>0.15</v>
      </c>
      <c r="C346" s="238" t="s">
        <v>480</v>
      </c>
      <c r="D346" s="241"/>
      <c r="E346" s="242">
        <f>SUM(D330*0.15)</f>
        <v>23503.95</v>
      </c>
      <c r="F346" s="231"/>
    </row>
    <row r="347" spans="1:6" ht="18" customHeight="1">
      <c r="B347" s="426">
        <v>0.15</v>
      </c>
      <c r="C347" s="238" t="s">
        <v>481</v>
      </c>
      <c r="D347" s="241"/>
      <c r="E347" s="242">
        <f>SUM(D330*0.15)</f>
        <v>23503.95</v>
      </c>
      <c r="F347" s="231"/>
    </row>
    <row r="348" spans="1:6" s="175" customFormat="1" ht="18" customHeight="1">
      <c r="A348" s="155"/>
      <c r="B348" s="427">
        <v>0.17499999999999999</v>
      </c>
      <c r="C348" s="238" t="s">
        <v>482</v>
      </c>
      <c r="D348" s="241"/>
      <c r="E348" s="242">
        <f>SUM(D330*0.175)</f>
        <v>27421.274999999998</v>
      </c>
      <c r="F348" s="231"/>
    </row>
    <row r="349" spans="1:6" s="175" customFormat="1" ht="18" customHeight="1">
      <c r="A349" s="155"/>
      <c r="B349" s="427">
        <v>0.17499999999999999</v>
      </c>
      <c r="C349" s="238" t="s">
        <v>483</v>
      </c>
      <c r="D349" s="241"/>
      <c r="E349" s="242">
        <f>SUM(D330*0.175)</f>
        <v>27421.274999999998</v>
      </c>
      <c r="F349" s="231"/>
    </row>
    <row r="350" spans="1:6" s="175" customFormat="1" ht="18" customHeight="1">
      <c r="A350" s="155"/>
      <c r="B350" s="426">
        <v>0.2</v>
      </c>
      <c r="C350" s="238" t="s">
        <v>484</v>
      </c>
      <c r="D350" s="241"/>
      <c r="E350" s="242">
        <f>SUM(D330*0.2)</f>
        <v>31338.600000000002</v>
      </c>
      <c r="F350" s="231"/>
    </row>
    <row r="351" spans="1:6" s="175" customFormat="1" ht="18" customHeight="1">
      <c r="A351" s="155"/>
      <c r="B351" s="426">
        <v>0.1</v>
      </c>
      <c r="C351" s="238" t="s">
        <v>485</v>
      </c>
      <c r="D351" s="244"/>
      <c r="E351" s="242">
        <f>D330*0.1</f>
        <v>15669.300000000001</v>
      </c>
      <c r="F351" s="231"/>
    </row>
    <row r="352" spans="1:6" s="175" customFormat="1" ht="18" customHeight="1">
      <c r="A352" s="155"/>
      <c r="B352" s="232"/>
      <c r="C352" s="178"/>
      <c r="D352" s="155"/>
      <c r="E352" s="245"/>
      <c r="F352" s="231"/>
    </row>
    <row r="353" spans="1:6" s="175" customFormat="1" ht="18" customHeight="1">
      <c r="A353" s="155"/>
      <c r="B353" s="213"/>
      <c r="C353" s="230" t="s">
        <v>486</v>
      </c>
      <c r="D353" s="244"/>
      <c r="F353" s="231"/>
    </row>
    <row r="354" spans="1:6" s="175" customFormat="1" ht="18" customHeight="1">
      <c r="A354" s="155"/>
      <c r="B354" s="213"/>
      <c r="C354" s="178" t="s">
        <v>487</v>
      </c>
      <c r="D354" s="155"/>
      <c r="E354" s="178">
        <f>SUM(D330)/1.1</f>
        <v>142448.18181818179</v>
      </c>
      <c r="F354" s="231"/>
    </row>
    <row r="355" spans="1:6" s="175" customFormat="1" ht="18" customHeight="1">
      <c r="A355" s="155"/>
      <c r="B355" s="213"/>
      <c r="C355" s="178" t="s">
        <v>488</v>
      </c>
      <c r="D355" s="155"/>
      <c r="E355" s="178">
        <f>SUM(D330-E354)</f>
        <v>14244.818181818206</v>
      </c>
      <c r="F355" s="231"/>
    </row>
    <row r="356" spans="1:6" s="175" customFormat="1" ht="18" customHeight="1">
      <c r="A356" s="155"/>
      <c r="B356" s="213"/>
      <c r="C356" s="178" t="s">
        <v>489</v>
      </c>
      <c r="D356" s="155"/>
      <c r="E356" s="178">
        <f>SUM(E354:E355)</f>
        <v>156693</v>
      </c>
      <c r="F356" s="231"/>
    </row>
    <row r="357" spans="1:6" s="175" customFormat="1" ht="18" customHeight="1">
      <c r="A357" s="155"/>
      <c r="B357" s="213"/>
      <c r="D357" s="244"/>
      <c r="F357" s="231"/>
    </row>
    <row r="358" spans="1:6" s="175" customFormat="1" ht="18" customHeight="1">
      <c r="A358" s="155"/>
      <c r="B358" s="213"/>
      <c r="D358" s="244"/>
      <c r="F358" s="231"/>
    </row>
    <row r="359" spans="1:6" s="175" customFormat="1" ht="18" customHeight="1">
      <c r="A359" s="155"/>
      <c r="B359" s="213"/>
      <c r="C359" s="230"/>
      <c r="D359" s="244"/>
      <c r="F359" s="231"/>
    </row>
    <row r="360" spans="1:6" s="175" customFormat="1" ht="18" customHeight="1">
      <c r="A360" s="155"/>
      <c r="B360" s="213"/>
      <c r="C360" s="178"/>
      <c r="D360" s="155"/>
      <c r="E360" s="178"/>
      <c r="F360" s="231"/>
    </row>
    <row r="361" spans="1:6" s="175" customFormat="1" ht="18" customHeight="1">
      <c r="A361" s="155"/>
      <c r="B361" s="213"/>
      <c r="C361" s="178"/>
      <c r="D361" s="155"/>
      <c r="E361" s="178"/>
      <c r="F361" s="231"/>
    </row>
    <row r="362" spans="1:6" s="175" customFormat="1" ht="18" customHeight="1">
      <c r="A362" s="155"/>
      <c r="B362" s="213"/>
      <c r="C362" s="178"/>
      <c r="D362" s="155"/>
      <c r="E362" s="178"/>
      <c r="F362" s="231"/>
    </row>
    <row r="363" spans="1:6" s="175" customFormat="1" ht="18" customHeight="1">
      <c r="A363" s="155"/>
      <c r="B363" s="213"/>
      <c r="C363" s="178"/>
      <c r="D363" s="155"/>
      <c r="E363" s="178"/>
      <c r="F363" s="231"/>
    </row>
    <row r="364" spans="1:6" s="175" customFormat="1" ht="18" customHeight="1">
      <c r="A364" s="155"/>
      <c r="B364" s="213"/>
      <c r="C364" s="178"/>
      <c r="D364" s="155"/>
      <c r="E364" s="178"/>
      <c r="F364" s="231"/>
    </row>
    <row r="365" spans="1:6" s="175" customFormat="1" ht="18" customHeight="1">
      <c r="A365" s="155"/>
      <c r="B365" s="229"/>
      <c r="C365" s="40"/>
      <c r="D365" s="135"/>
      <c r="E365" s="40"/>
      <c r="F365" s="147"/>
    </row>
    <row r="366" spans="1:6" s="175" customFormat="1" ht="18" customHeight="1">
      <c r="A366" s="155"/>
      <c r="B366" s="229"/>
      <c r="C366" s="40"/>
      <c r="D366" s="135"/>
      <c r="E366" s="40"/>
      <c r="F366" s="147"/>
    </row>
    <row r="367" spans="1:6" s="175" customFormat="1" ht="18" customHeight="1">
      <c r="A367" s="155"/>
      <c r="B367" s="229"/>
      <c r="C367" s="40"/>
      <c r="D367" s="135"/>
      <c r="E367" s="40"/>
      <c r="F367" s="147"/>
    </row>
    <row r="368" spans="1:6" s="175" customFormat="1" ht="18" customHeight="1">
      <c r="A368" s="155"/>
      <c r="B368" s="229"/>
      <c r="C368" s="40"/>
      <c r="D368" s="135"/>
      <c r="E368" s="40"/>
      <c r="F368" s="147"/>
    </row>
    <row r="369" spans="1:6" s="175" customFormat="1" ht="18" customHeight="1">
      <c r="A369" s="155"/>
      <c r="B369" s="229"/>
      <c r="C369" s="40"/>
      <c r="D369" s="135"/>
      <c r="E369" s="40"/>
      <c r="F369" s="147"/>
    </row>
    <row r="370" spans="1:6" s="175" customFormat="1" ht="18" customHeight="1">
      <c r="A370" s="155"/>
      <c r="B370" s="229"/>
      <c r="C370" s="40"/>
      <c r="D370" s="135"/>
      <c r="E370" s="40"/>
      <c r="F370" s="147"/>
    </row>
    <row r="371" spans="1:6" ht="18" customHeight="1">
      <c r="B371" s="229"/>
      <c r="F371" s="147"/>
    </row>
    <row r="372" spans="1:6" ht="18" customHeight="1">
      <c r="B372" s="229"/>
      <c r="F372" s="147"/>
    </row>
    <row r="373" spans="1:6" ht="18" customHeight="1">
      <c r="B373" s="229"/>
      <c r="F373" s="147"/>
    </row>
    <row r="374" spans="1:6" ht="18" customHeight="1">
      <c r="B374" s="229"/>
      <c r="F374" s="147"/>
    </row>
    <row r="375" spans="1:6" ht="18" customHeight="1">
      <c r="B375" s="229"/>
      <c r="F375" s="147"/>
    </row>
    <row r="376" spans="1:6" ht="18" customHeight="1">
      <c r="B376" s="229"/>
      <c r="F376" s="147"/>
    </row>
    <row r="377" spans="1:6" ht="18" customHeight="1" thickBot="1">
      <c r="B377" s="246"/>
      <c r="C377" s="247"/>
      <c r="D377" s="248"/>
      <c r="E377" s="247"/>
      <c r="F377" s="249"/>
    </row>
  </sheetData>
  <mergeCells count="362">
    <mergeCell ref="B328:C328"/>
    <mergeCell ref="B318:C318"/>
    <mergeCell ref="B319:C319"/>
    <mergeCell ref="B321:C321"/>
    <mergeCell ref="B322:C322"/>
    <mergeCell ref="B323:C323"/>
    <mergeCell ref="B324:C324"/>
    <mergeCell ref="B325:C325"/>
    <mergeCell ref="B326:C326"/>
    <mergeCell ref="B327:C327"/>
    <mergeCell ref="B306:C306"/>
    <mergeCell ref="B308:C308"/>
    <mergeCell ref="B309:C309"/>
    <mergeCell ref="B310:C310"/>
    <mergeCell ref="B311:C311"/>
    <mergeCell ref="B312:C312"/>
    <mergeCell ref="B313:C313"/>
    <mergeCell ref="B315:C315"/>
    <mergeCell ref="B317:C317"/>
    <mergeCell ref="B295:C295"/>
    <mergeCell ref="B297:C297"/>
    <mergeCell ref="B298:C298"/>
    <mergeCell ref="B299:C299"/>
    <mergeCell ref="B300:C300"/>
    <mergeCell ref="B301:C301"/>
    <mergeCell ref="B303:C303"/>
    <mergeCell ref="B304:C304"/>
    <mergeCell ref="B305:C305"/>
    <mergeCell ref="B286:C286"/>
    <mergeCell ref="B287:C287"/>
    <mergeCell ref="B288:C288"/>
    <mergeCell ref="B289:C289"/>
    <mergeCell ref="B290:C290"/>
    <mergeCell ref="B291:C291"/>
    <mergeCell ref="B292:C292"/>
    <mergeCell ref="B293:C293"/>
    <mergeCell ref="B294:C294"/>
    <mergeCell ref="B275:C275"/>
    <mergeCell ref="B276:C276"/>
    <mergeCell ref="B277:C277"/>
    <mergeCell ref="B278:C278"/>
    <mergeCell ref="B279:C279"/>
    <mergeCell ref="B280:C280"/>
    <mergeCell ref="B281:C281"/>
    <mergeCell ref="B283:C283"/>
    <mergeCell ref="B284:C284"/>
    <mergeCell ref="B265:C265"/>
    <mergeCell ref="B266:C266"/>
    <mergeCell ref="B267:C267"/>
    <mergeCell ref="B268:C268"/>
    <mergeCell ref="B269:C269"/>
    <mergeCell ref="B270:C270"/>
    <mergeCell ref="B271:C271"/>
    <mergeCell ref="B272:C272"/>
    <mergeCell ref="B274:C274"/>
    <mergeCell ref="B254:C254"/>
    <mergeCell ref="B255:C255"/>
    <mergeCell ref="B256:C256"/>
    <mergeCell ref="B257:C257"/>
    <mergeCell ref="B258:C258"/>
    <mergeCell ref="B259:C259"/>
    <mergeCell ref="B261:C261"/>
    <mergeCell ref="B263:C263"/>
    <mergeCell ref="B264:C264"/>
    <mergeCell ref="B47:C47"/>
    <mergeCell ref="C48:F48"/>
    <mergeCell ref="B49:F49"/>
    <mergeCell ref="B50:F50"/>
    <mergeCell ref="B51:F51"/>
    <mergeCell ref="C52:F52"/>
    <mergeCell ref="B58:C58"/>
    <mergeCell ref="D58:F58"/>
    <mergeCell ref="B59:C59"/>
    <mergeCell ref="D59:F59"/>
    <mergeCell ref="B60:C60"/>
    <mergeCell ref="D60:F60"/>
    <mergeCell ref="B54:F54"/>
    <mergeCell ref="D55:F55"/>
    <mergeCell ref="B56:C56"/>
    <mergeCell ref="D56:F56"/>
    <mergeCell ref="B57:C57"/>
    <mergeCell ref="D57:F57"/>
    <mergeCell ref="B65:C65"/>
    <mergeCell ref="D65:F65"/>
    <mergeCell ref="B66:C66"/>
    <mergeCell ref="D66:F66"/>
    <mergeCell ref="B67:C67"/>
    <mergeCell ref="D67:F67"/>
    <mergeCell ref="B61:C61"/>
    <mergeCell ref="D61:F61"/>
    <mergeCell ref="B62:C62"/>
    <mergeCell ref="D62:F62"/>
    <mergeCell ref="D63:F63"/>
    <mergeCell ref="B64:C64"/>
    <mergeCell ref="D64:F64"/>
    <mergeCell ref="B72:C72"/>
    <mergeCell ref="D72:F72"/>
    <mergeCell ref="D73:F73"/>
    <mergeCell ref="B74:C74"/>
    <mergeCell ref="D74:F74"/>
    <mergeCell ref="D75:F75"/>
    <mergeCell ref="B68:C68"/>
    <mergeCell ref="D68:F68"/>
    <mergeCell ref="D69:F69"/>
    <mergeCell ref="B70:C70"/>
    <mergeCell ref="D70:F70"/>
    <mergeCell ref="B71:C71"/>
    <mergeCell ref="D71:F71"/>
    <mergeCell ref="D79:F79"/>
    <mergeCell ref="B80:C80"/>
    <mergeCell ref="D80:F80"/>
    <mergeCell ref="D81:F81"/>
    <mergeCell ref="B82:C82"/>
    <mergeCell ref="D82:F82"/>
    <mergeCell ref="B76:C76"/>
    <mergeCell ref="D76:F76"/>
    <mergeCell ref="B77:C77"/>
    <mergeCell ref="D77:F77"/>
    <mergeCell ref="B78:C78"/>
    <mergeCell ref="D78:F78"/>
    <mergeCell ref="B87:C87"/>
    <mergeCell ref="D87:F87"/>
    <mergeCell ref="D88:F88"/>
    <mergeCell ref="B89:C89"/>
    <mergeCell ref="D89:F89"/>
    <mergeCell ref="B90:C90"/>
    <mergeCell ref="D90:F90"/>
    <mergeCell ref="B83:C83"/>
    <mergeCell ref="D83:F83"/>
    <mergeCell ref="D84:F84"/>
    <mergeCell ref="B85:C85"/>
    <mergeCell ref="D85:F85"/>
    <mergeCell ref="B86:C86"/>
    <mergeCell ref="D86:F86"/>
    <mergeCell ref="D95:F95"/>
    <mergeCell ref="B96:C96"/>
    <mergeCell ref="D96:F96"/>
    <mergeCell ref="B97:C97"/>
    <mergeCell ref="D97:F97"/>
    <mergeCell ref="B98:C98"/>
    <mergeCell ref="D98:F98"/>
    <mergeCell ref="D91:F91"/>
    <mergeCell ref="B92:C92"/>
    <mergeCell ref="D92:F92"/>
    <mergeCell ref="B93:C93"/>
    <mergeCell ref="D93:F93"/>
    <mergeCell ref="B94:C94"/>
    <mergeCell ref="D94:F94"/>
    <mergeCell ref="B103:C103"/>
    <mergeCell ref="D103:F103"/>
    <mergeCell ref="D104:F104"/>
    <mergeCell ref="B105:C105"/>
    <mergeCell ref="D105:F105"/>
    <mergeCell ref="B106:C106"/>
    <mergeCell ref="D106:F106"/>
    <mergeCell ref="D99:F99"/>
    <mergeCell ref="B100:C100"/>
    <mergeCell ref="D100:F100"/>
    <mergeCell ref="B101:C101"/>
    <mergeCell ref="D101:F101"/>
    <mergeCell ref="B102:C102"/>
    <mergeCell ref="D102:F102"/>
    <mergeCell ref="B111:C111"/>
    <mergeCell ref="D111:F111"/>
    <mergeCell ref="B112:C112"/>
    <mergeCell ref="D112:F112"/>
    <mergeCell ref="D113:F113"/>
    <mergeCell ref="B114:C114"/>
    <mergeCell ref="D114:F114"/>
    <mergeCell ref="B107:C107"/>
    <mergeCell ref="D107:F107"/>
    <mergeCell ref="D108:F108"/>
    <mergeCell ref="B109:C109"/>
    <mergeCell ref="D109:F109"/>
    <mergeCell ref="B110:C110"/>
    <mergeCell ref="D110:F110"/>
    <mergeCell ref="B118:C118"/>
    <mergeCell ref="D118:F118"/>
    <mergeCell ref="B119:C119"/>
    <mergeCell ref="D119:F119"/>
    <mergeCell ref="B120:C120"/>
    <mergeCell ref="D120:F120"/>
    <mergeCell ref="B115:C115"/>
    <mergeCell ref="D115:F115"/>
    <mergeCell ref="B116:C116"/>
    <mergeCell ref="D116:F116"/>
    <mergeCell ref="B117:C117"/>
    <mergeCell ref="D117:F117"/>
    <mergeCell ref="D124:F124"/>
    <mergeCell ref="B125:C125"/>
    <mergeCell ref="D125:F125"/>
    <mergeCell ref="B126:C126"/>
    <mergeCell ref="D126:F126"/>
    <mergeCell ref="B127:C127"/>
    <mergeCell ref="D127:F127"/>
    <mergeCell ref="B121:C121"/>
    <mergeCell ref="D121:F121"/>
    <mergeCell ref="B122:C122"/>
    <mergeCell ref="D122:F122"/>
    <mergeCell ref="B123:C123"/>
    <mergeCell ref="D123:F123"/>
    <mergeCell ref="B131:C131"/>
    <mergeCell ref="D131:F131"/>
    <mergeCell ref="B132:C132"/>
    <mergeCell ref="D132:F132"/>
    <mergeCell ref="B133:C133"/>
    <mergeCell ref="D133:F133"/>
    <mergeCell ref="B128:C128"/>
    <mergeCell ref="D128:F128"/>
    <mergeCell ref="B129:C129"/>
    <mergeCell ref="D129:F129"/>
    <mergeCell ref="B130:C130"/>
    <mergeCell ref="D130:F130"/>
    <mergeCell ref="B138:C138"/>
    <mergeCell ref="D138:F138"/>
    <mergeCell ref="B139:C139"/>
    <mergeCell ref="D139:F139"/>
    <mergeCell ref="B140:C140"/>
    <mergeCell ref="D140:F140"/>
    <mergeCell ref="B134:C134"/>
    <mergeCell ref="D134:F134"/>
    <mergeCell ref="D135:F135"/>
    <mergeCell ref="B136:C136"/>
    <mergeCell ref="D136:F136"/>
    <mergeCell ref="D137:F137"/>
    <mergeCell ref="B145:C145"/>
    <mergeCell ref="D145:F145"/>
    <mergeCell ref="B146:C146"/>
    <mergeCell ref="D146:F146"/>
    <mergeCell ref="D147:F147"/>
    <mergeCell ref="B148:C148"/>
    <mergeCell ref="D148:F148"/>
    <mergeCell ref="B141:C141"/>
    <mergeCell ref="D141:F141"/>
    <mergeCell ref="D142:F142"/>
    <mergeCell ref="B143:C143"/>
    <mergeCell ref="D143:F143"/>
    <mergeCell ref="B144:C144"/>
    <mergeCell ref="D144:F144"/>
    <mergeCell ref="B152:C152"/>
    <mergeCell ref="D152:F152"/>
    <mergeCell ref="B153:C153"/>
    <mergeCell ref="D153:F153"/>
    <mergeCell ref="B154:C154"/>
    <mergeCell ref="D154:F154"/>
    <mergeCell ref="B149:C149"/>
    <mergeCell ref="D149:F149"/>
    <mergeCell ref="B150:C150"/>
    <mergeCell ref="D150:F150"/>
    <mergeCell ref="B151:C151"/>
    <mergeCell ref="D151:F151"/>
    <mergeCell ref="D159:F159"/>
    <mergeCell ref="B160:C160"/>
    <mergeCell ref="D160:F160"/>
    <mergeCell ref="B161:C161"/>
    <mergeCell ref="D161:F161"/>
    <mergeCell ref="D162:F162"/>
    <mergeCell ref="B155:C155"/>
    <mergeCell ref="D155:F155"/>
    <mergeCell ref="B156:C156"/>
    <mergeCell ref="D156:F156"/>
    <mergeCell ref="D157:F157"/>
    <mergeCell ref="B158:C158"/>
    <mergeCell ref="D158:F158"/>
    <mergeCell ref="B166:C166"/>
    <mergeCell ref="D166:F166"/>
    <mergeCell ref="B167:C167"/>
    <mergeCell ref="D167:F167"/>
    <mergeCell ref="D168:F168"/>
    <mergeCell ref="B169:C169"/>
    <mergeCell ref="D169:F169"/>
    <mergeCell ref="B163:C163"/>
    <mergeCell ref="D163:F163"/>
    <mergeCell ref="B164:C164"/>
    <mergeCell ref="D164:F164"/>
    <mergeCell ref="B165:C165"/>
    <mergeCell ref="D165:F165"/>
    <mergeCell ref="D174:F174"/>
    <mergeCell ref="B175:C175"/>
    <mergeCell ref="D175:F175"/>
    <mergeCell ref="D176:F176"/>
    <mergeCell ref="B177:C177"/>
    <mergeCell ref="D177:F177"/>
    <mergeCell ref="B170:C170"/>
    <mergeCell ref="D170:F170"/>
    <mergeCell ref="B171:C171"/>
    <mergeCell ref="D171:F171"/>
    <mergeCell ref="D172:F172"/>
    <mergeCell ref="B173:C173"/>
    <mergeCell ref="D173:F173"/>
    <mergeCell ref="B186:C186"/>
    <mergeCell ref="B187:F187"/>
    <mergeCell ref="B188:C188"/>
    <mergeCell ref="B189:C189"/>
    <mergeCell ref="B190:C190"/>
    <mergeCell ref="B191:C191"/>
    <mergeCell ref="B178:C178"/>
    <mergeCell ref="D178:F178"/>
    <mergeCell ref="B179:C179"/>
    <mergeCell ref="B182:C182"/>
    <mergeCell ref="D183:F183"/>
    <mergeCell ref="C184:F184"/>
    <mergeCell ref="B198:C198"/>
    <mergeCell ref="B199:F199"/>
    <mergeCell ref="B200:C200"/>
    <mergeCell ref="B201:F201"/>
    <mergeCell ref="B202:F202"/>
    <mergeCell ref="B203:C203"/>
    <mergeCell ref="B192:C192"/>
    <mergeCell ref="B193:C193"/>
    <mergeCell ref="B194:C194"/>
    <mergeCell ref="B195:F195"/>
    <mergeCell ref="B196:C196"/>
    <mergeCell ref="B197:F197"/>
    <mergeCell ref="B210:C210"/>
    <mergeCell ref="B211:C211"/>
    <mergeCell ref="B212:C212"/>
    <mergeCell ref="B213:C213"/>
    <mergeCell ref="B214:C214"/>
    <mergeCell ref="B215:F215"/>
    <mergeCell ref="B204:C204"/>
    <mergeCell ref="B205:C205"/>
    <mergeCell ref="B206:C206"/>
    <mergeCell ref="B207:C207"/>
    <mergeCell ref="B208:C208"/>
    <mergeCell ref="B209:C209"/>
    <mergeCell ref="B225:C225"/>
    <mergeCell ref="B226:C226"/>
    <mergeCell ref="B227:C227"/>
    <mergeCell ref="B228:C228"/>
    <mergeCell ref="B216:C216"/>
    <mergeCell ref="B217:C217"/>
    <mergeCell ref="B218:F218"/>
    <mergeCell ref="B219:C219"/>
    <mergeCell ref="B223:F223"/>
    <mergeCell ref="B224:C224"/>
    <mergeCell ref="B221:C221"/>
    <mergeCell ref="B222:C222"/>
    <mergeCell ref="B241:C241"/>
    <mergeCell ref="B242:C242"/>
    <mergeCell ref="B243:C243"/>
    <mergeCell ref="B329:C329"/>
    <mergeCell ref="D330:F330"/>
    <mergeCell ref="B332:C332"/>
    <mergeCell ref="B230:C230"/>
    <mergeCell ref="B231:C231"/>
    <mergeCell ref="B232:C232"/>
    <mergeCell ref="B233:C233"/>
    <mergeCell ref="B234:C234"/>
    <mergeCell ref="B236:C236"/>
    <mergeCell ref="B238:C238"/>
    <mergeCell ref="B239:C239"/>
    <mergeCell ref="B240:C240"/>
    <mergeCell ref="B244:C244"/>
    <mergeCell ref="B245:C245"/>
    <mergeCell ref="B246:C246"/>
    <mergeCell ref="B247:C247"/>
    <mergeCell ref="B248:C248"/>
    <mergeCell ref="B249:C249"/>
    <mergeCell ref="B250:C250"/>
    <mergeCell ref="B251:C251"/>
    <mergeCell ref="B252:C252"/>
  </mergeCells>
  <pageMargins left="0.7" right="0.7" top="0.75" bottom="0.75" header="0.3" footer="0.3"/>
  <pageSetup paperSize="9" scale="89" fitToHeight="0" orientation="portrait" r:id="rId1"/>
  <rowBreaks count="6" manualBreakCount="6">
    <brk id="44" max="16383" man="1"/>
    <brk id="87" max="16383" man="1"/>
    <brk id="123" max="5" man="1"/>
    <brk id="161" max="5" man="1"/>
    <brk id="178" max="16383" man="1"/>
    <brk id="332" max="5" man="1"/>
  </rowBreaks>
  <colBreaks count="1" manualBreakCount="1">
    <brk id="6" max="334" man="1"/>
  </colBreaks>
  <drawing r:id="rId2"/>
  <legacyDrawing r:id="rId3"/>
  <controls>
    <mc:AlternateContent xmlns:mc="http://schemas.openxmlformats.org/markup-compatibility/2006">
      <mc:Choice Requires="x14">
        <control shapeId="5121" r:id="rId4" name="ComboBox1">
          <controlPr defaultSize="0" autoLine="0" r:id="rId5">
            <anchor moveWithCells="1">
              <from>
                <xdr:col>2</xdr:col>
                <xdr:colOff>9525</xdr:colOff>
                <xdr:row>185</xdr:row>
                <xdr:rowOff>19050</xdr:rowOff>
              </from>
              <to>
                <xdr:col>3</xdr:col>
                <xdr:colOff>0</xdr:colOff>
                <xdr:row>185</xdr:row>
                <xdr:rowOff>257175</xdr:rowOff>
              </to>
            </anchor>
          </controlPr>
        </control>
      </mc:Choice>
      <mc:Fallback>
        <control shapeId="5121" r:id="rId4" name="ComboBox1"/>
      </mc:Fallback>
    </mc:AlternateContent>
    <mc:AlternateContent xmlns:mc="http://schemas.openxmlformats.org/markup-compatibility/2006">
      <mc:Choice Requires="x14">
        <control shapeId="5122" r:id="rId6" name="optShepparton">
          <controlPr defaultSize="0" autoLine="0" r:id="rId7">
            <anchor moveWithCells="1">
              <from>
                <xdr:col>7</xdr:col>
                <xdr:colOff>342900</xdr:colOff>
                <xdr:row>173</xdr:row>
                <xdr:rowOff>19050</xdr:rowOff>
              </from>
              <to>
                <xdr:col>7</xdr:col>
                <xdr:colOff>1333500</xdr:colOff>
                <xdr:row>174</xdr:row>
                <xdr:rowOff>0</xdr:rowOff>
              </to>
            </anchor>
          </controlPr>
        </control>
      </mc:Choice>
      <mc:Fallback>
        <control shapeId="5122" r:id="rId6" name="optShepparton"/>
      </mc:Fallback>
    </mc:AlternateContent>
    <mc:AlternateContent xmlns:mc="http://schemas.openxmlformats.org/markup-compatibility/2006">
      <mc:Choice Requires="x14">
        <control shapeId="5123" r:id="rId8" name="optECHUCA">
          <controlPr defaultSize="0" autoLine="0" r:id="rId9">
            <anchor moveWithCells="1">
              <from>
                <xdr:col>7</xdr:col>
                <xdr:colOff>2247900</xdr:colOff>
                <xdr:row>173</xdr:row>
                <xdr:rowOff>19050</xdr:rowOff>
              </from>
              <to>
                <xdr:col>7</xdr:col>
                <xdr:colOff>3238500</xdr:colOff>
                <xdr:row>174</xdr:row>
                <xdr:rowOff>0</xdr:rowOff>
              </to>
            </anchor>
          </controlPr>
        </control>
      </mc:Choice>
      <mc:Fallback>
        <control shapeId="5123" r:id="rId8" name="optECHUCA"/>
      </mc:Fallback>
    </mc:AlternateContent>
    <mc:AlternateContent xmlns:mc="http://schemas.openxmlformats.org/markup-compatibility/2006">
      <mc:Choice Requires="x14">
        <control shapeId="5124" r:id="rId10" name="cmbTimePeriod">
          <controlPr defaultSize="0" autoLine="0" r:id="rId11">
            <anchor moveWithCells="1">
              <from>
                <xdr:col>7</xdr:col>
                <xdr:colOff>38100</xdr:colOff>
                <xdr:row>171</xdr:row>
                <xdr:rowOff>38100</xdr:rowOff>
              </from>
              <to>
                <xdr:col>7</xdr:col>
                <xdr:colOff>1885950</xdr:colOff>
                <xdr:row>171</xdr:row>
                <xdr:rowOff>276225</xdr:rowOff>
              </to>
            </anchor>
          </controlPr>
        </control>
      </mc:Choice>
      <mc:Fallback>
        <control shapeId="5124" r:id="rId10" name="cmbTimePeriod"/>
      </mc:Fallback>
    </mc:AlternateContent>
    <mc:AlternateContent xmlns:mc="http://schemas.openxmlformats.org/markup-compatibility/2006">
      <mc:Choice Requires="x14">
        <control shapeId="5125" r:id="rId12" name="cmdArea">
          <controlPr defaultSize="0" autoLine="0" r:id="rId13">
            <anchor moveWithCells="1">
              <from>
                <xdr:col>7</xdr:col>
                <xdr:colOff>47625</xdr:colOff>
                <xdr:row>177</xdr:row>
                <xdr:rowOff>19050</xdr:rowOff>
              </from>
              <to>
                <xdr:col>7</xdr:col>
                <xdr:colOff>1790700</xdr:colOff>
                <xdr:row>177</xdr:row>
                <xdr:rowOff>285750</xdr:rowOff>
              </to>
            </anchor>
          </controlPr>
        </control>
      </mc:Choice>
      <mc:Fallback>
        <control shapeId="5125" r:id="rId12" name="cmdArea"/>
      </mc:Fallback>
    </mc:AlternateContent>
  </control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12CA1-B3E0-4C8A-A079-6E8CDEA2BFC3}">
  <sheetPr codeName="Sheet27"/>
  <dimension ref="A1:AH107"/>
  <sheetViews>
    <sheetView topLeftCell="A7" workbookViewId="0">
      <selection activeCell="B23" sqref="B23"/>
    </sheetView>
  </sheetViews>
  <sheetFormatPr defaultRowHeight="15"/>
  <cols>
    <col min="1" max="1" width="49.140625" customWidth="1"/>
    <col min="2" max="4" width="5.7109375" customWidth="1"/>
    <col min="5" max="5" width="7.140625" customWidth="1"/>
    <col min="6" max="10" width="5.7109375" customWidth="1"/>
    <col min="11" max="11" width="5.7109375" style="534" customWidth="1"/>
    <col min="12" max="21" width="5.7109375" customWidth="1"/>
    <col min="22" max="22" width="5.85546875" customWidth="1"/>
    <col min="23" max="31" width="5.7109375" customWidth="1"/>
    <col min="32" max="32" width="15.5703125" bestFit="1" customWidth="1"/>
  </cols>
  <sheetData>
    <row r="1" spans="1:34">
      <c r="A1" t="s">
        <v>1229</v>
      </c>
      <c r="B1">
        <f>+((65+65)/100)</f>
        <v>1.3</v>
      </c>
    </row>
    <row r="2" spans="1:34">
      <c r="A2" t="s">
        <v>1230</v>
      </c>
      <c r="B2">
        <v>1.65</v>
      </c>
      <c r="F2" s="546" t="s">
        <v>1457</v>
      </c>
      <c r="G2" s="546"/>
      <c r="H2" s="546"/>
      <c r="I2" s="546"/>
      <c r="J2" s="546"/>
      <c r="K2" s="546"/>
    </row>
    <row r="3" spans="1:34">
      <c r="A3" t="s">
        <v>1231</v>
      </c>
      <c r="B3">
        <v>1.65</v>
      </c>
    </row>
    <row r="4" spans="1:34">
      <c r="A4" t="s">
        <v>1232</v>
      </c>
      <c r="B4">
        <v>1.65</v>
      </c>
    </row>
    <row r="5" spans="1:34">
      <c r="A5" t="s">
        <v>1233</v>
      </c>
      <c r="B5">
        <v>4</v>
      </c>
    </row>
    <row r="6" spans="1:34">
      <c r="A6" t="s">
        <v>1234</v>
      </c>
      <c r="B6">
        <v>6</v>
      </c>
    </row>
    <row r="7" spans="1:34" s="13" customFormat="1" ht="84" customHeight="1">
      <c r="B7" s="13" t="s">
        <v>1235</v>
      </c>
      <c r="C7" s="13" t="s">
        <v>1236</v>
      </c>
      <c r="D7" s="13" t="s">
        <v>1237</v>
      </c>
      <c r="E7" s="13" t="s">
        <v>1238</v>
      </c>
      <c r="F7" s="13" t="s">
        <v>1239</v>
      </c>
      <c r="G7" s="13" t="s">
        <v>1240</v>
      </c>
      <c r="H7" s="13" t="s">
        <v>1241</v>
      </c>
      <c r="I7" s="13" t="s">
        <v>1242</v>
      </c>
      <c r="K7" s="535" t="s">
        <v>1243</v>
      </c>
      <c r="M7" s="13" t="s">
        <v>1244</v>
      </c>
      <c r="P7" s="13" t="s">
        <v>1245</v>
      </c>
      <c r="R7" s="13" t="s">
        <v>1246</v>
      </c>
      <c r="T7" s="13" t="s">
        <v>1247</v>
      </c>
      <c r="W7" s="13" t="s">
        <v>1248</v>
      </c>
    </row>
    <row r="8" spans="1:34">
      <c r="A8" t="s">
        <v>174</v>
      </c>
      <c r="B8">
        <v>20</v>
      </c>
      <c r="C8">
        <f>+B2*2</f>
        <v>3.3</v>
      </c>
      <c r="D8">
        <v>45.45</v>
      </c>
      <c r="E8" s="436">
        <f>+C8*B8</f>
        <v>66</v>
      </c>
      <c r="F8">
        <f>+C8*B8</f>
        <v>66</v>
      </c>
      <c r="G8" s="436">
        <f t="shared" ref="G8:G35" si="0">+C8*B8*6</f>
        <v>396</v>
      </c>
      <c r="H8" s="436">
        <f>+C8*B8</f>
        <v>66</v>
      </c>
      <c r="I8">
        <v>51</v>
      </c>
      <c r="J8">
        <f t="shared" ref="J8:J36" si="1">+I8*35</f>
        <v>1785</v>
      </c>
      <c r="K8" s="534">
        <v>210</v>
      </c>
      <c r="L8">
        <f t="shared" ref="L8:L36" si="2">+K8*60</f>
        <v>12600</v>
      </c>
      <c r="M8">
        <f>+B5</f>
        <v>4</v>
      </c>
      <c r="N8">
        <f t="shared" ref="N8:N36" si="3">+B8-80</f>
        <v>-60</v>
      </c>
      <c r="O8">
        <f t="shared" ref="O8:O36" si="4">IF((N8&gt;0),(N8*M8*2),)</f>
        <v>0</v>
      </c>
      <c r="P8">
        <v>55</v>
      </c>
      <c r="Q8" s="437">
        <f t="shared" ref="Q8:Q36" si="5">+P8*8</f>
        <v>440</v>
      </c>
      <c r="R8" s="437">
        <v>44</v>
      </c>
      <c r="S8">
        <f t="shared" ref="S8:S36" si="6">+R8*9</f>
        <v>396</v>
      </c>
      <c r="T8">
        <f>+B6</f>
        <v>6</v>
      </c>
      <c r="V8">
        <f>+B4</f>
        <v>1.65</v>
      </c>
      <c r="W8">
        <f>+V8*2*B8*10</f>
        <v>660</v>
      </c>
      <c r="AF8" t="str">
        <f t="shared" ref="AF8:AF36" si="7">+A8</f>
        <v>SHEPPARTON</v>
      </c>
    </row>
    <row r="9" spans="1:34">
      <c r="A9" t="s">
        <v>223</v>
      </c>
      <c r="B9">
        <v>120</v>
      </c>
      <c r="C9">
        <f>+C8</f>
        <v>3.3</v>
      </c>
      <c r="D9">
        <v>150</v>
      </c>
      <c r="E9" s="436">
        <f>+C9*B9</f>
        <v>396</v>
      </c>
      <c r="F9">
        <f t="shared" ref="F9:F36" si="8">+C9*B9</f>
        <v>396</v>
      </c>
      <c r="G9" s="436">
        <f t="shared" si="0"/>
        <v>2376</v>
      </c>
      <c r="H9" s="436">
        <f t="shared" ref="H9:H36" si="9">+C9*B9</f>
        <v>396</v>
      </c>
      <c r="I9">
        <v>85</v>
      </c>
      <c r="J9">
        <f t="shared" si="1"/>
        <v>2975</v>
      </c>
      <c r="K9" s="534">
        <v>287</v>
      </c>
      <c r="L9">
        <f t="shared" si="2"/>
        <v>17220</v>
      </c>
      <c r="M9">
        <f t="shared" ref="M9:M36" si="10">+M8</f>
        <v>4</v>
      </c>
      <c r="N9">
        <f t="shared" si="3"/>
        <v>40</v>
      </c>
      <c r="O9">
        <f t="shared" si="4"/>
        <v>320</v>
      </c>
      <c r="P9">
        <v>65</v>
      </c>
      <c r="Q9" s="437">
        <f t="shared" si="5"/>
        <v>520</v>
      </c>
      <c r="R9">
        <v>80</v>
      </c>
      <c r="S9">
        <f t="shared" si="6"/>
        <v>720</v>
      </c>
      <c r="T9">
        <f t="shared" ref="T9:T36" si="11">+T8</f>
        <v>6</v>
      </c>
      <c r="U9">
        <f>+IF(((B9-80)&gt;0),((B9-80)*T9),0)</f>
        <v>240</v>
      </c>
      <c r="V9">
        <f>+V8</f>
        <v>1.65</v>
      </c>
      <c r="W9">
        <f t="shared" ref="W9:W36" si="12">+V9*2*B9*10</f>
        <v>3960</v>
      </c>
      <c r="AF9" t="str">
        <f t="shared" si="7"/>
        <v>ALEXANDRA</v>
      </c>
      <c r="AG9">
        <f>+C94-B94</f>
        <v>29794.75</v>
      </c>
      <c r="AH9" s="387">
        <f>+CEILING(AG9*1.36,10)</f>
        <v>40530</v>
      </c>
    </row>
    <row r="10" spans="1:34">
      <c r="A10" t="s">
        <v>224</v>
      </c>
      <c r="B10">
        <v>71</v>
      </c>
      <c r="C10">
        <f>+C9</f>
        <v>3.3</v>
      </c>
      <c r="D10">
        <v>110</v>
      </c>
      <c r="E10" s="436">
        <f t="shared" ref="E10:E36" si="13">+C10*B10</f>
        <v>234.29999999999998</v>
      </c>
      <c r="F10">
        <f t="shared" si="8"/>
        <v>234.29999999999998</v>
      </c>
      <c r="G10" s="436">
        <f t="shared" si="0"/>
        <v>1405.8</v>
      </c>
      <c r="H10" s="436">
        <f t="shared" si="9"/>
        <v>234.29999999999998</v>
      </c>
      <c r="I10">
        <v>65</v>
      </c>
      <c r="J10">
        <f t="shared" si="1"/>
        <v>2275</v>
      </c>
      <c r="K10" s="534">
        <v>210</v>
      </c>
      <c r="L10">
        <f t="shared" si="2"/>
        <v>12600</v>
      </c>
      <c r="M10">
        <f t="shared" si="10"/>
        <v>4</v>
      </c>
      <c r="N10">
        <f t="shared" si="3"/>
        <v>-9</v>
      </c>
      <c r="O10">
        <f t="shared" si="4"/>
        <v>0</v>
      </c>
      <c r="P10">
        <v>55</v>
      </c>
      <c r="Q10" s="437">
        <f t="shared" si="5"/>
        <v>440</v>
      </c>
      <c r="R10">
        <v>56</v>
      </c>
      <c r="S10">
        <f t="shared" si="6"/>
        <v>504</v>
      </c>
      <c r="T10">
        <f t="shared" si="11"/>
        <v>6</v>
      </c>
      <c r="U10">
        <f t="shared" ref="U10:U36" si="14">+IF(((B10-80)&gt;0),((B10-80)*T10),0)</f>
        <v>0</v>
      </c>
      <c r="V10">
        <f t="shared" ref="V10:V36" si="15">+V9</f>
        <v>1.65</v>
      </c>
      <c r="W10">
        <f t="shared" si="12"/>
        <v>2343</v>
      </c>
      <c r="AF10" t="str">
        <f t="shared" si="7"/>
        <v>AVENEL</v>
      </c>
      <c r="AG10">
        <f>+D94-B94</f>
        <v>10821.05</v>
      </c>
      <c r="AH10" s="387">
        <f t="shared" ref="AH10:AH36" si="16">+CEILING(AG10*1.36,10)</f>
        <v>14720</v>
      </c>
    </row>
    <row r="11" spans="1:34">
      <c r="A11" t="s">
        <v>226</v>
      </c>
      <c r="B11">
        <v>62</v>
      </c>
      <c r="C11">
        <f t="shared" ref="C11:C35" si="17">+C10</f>
        <v>3.3</v>
      </c>
      <c r="D11">
        <v>70</v>
      </c>
      <c r="E11" s="436">
        <f t="shared" si="13"/>
        <v>204.6</v>
      </c>
      <c r="F11">
        <f t="shared" si="8"/>
        <v>204.6</v>
      </c>
      <c r="G11" s="436">
        <f t="shared" si="0"/>
        <v>1227.5999999999999</v>
      </c>
      <c r="H11" s="436">
        <f t="shared" si="9"/>
        <v>204.6</v>
      </c>
      <c r="I11">
        <v>65</v>
      </c>
      <c r="J11">
        <f t="shared" si="1"/>
        <v>2275</v>
      </c>
      <c r="K11" s="534">
        <v>235</v>
      </c>
      <c r="L11">
        <f t="shared" si="2"/>
        <v>14100</v>
      </c>
      <c r="M11">
        <f t="shared" si="10"/>
        <v>4</v>
      </c>
      <c r="N11">
        <f t="shared" si="3"/>
        <v>-18</v>
      </c>
      <c r="O11">
        <f t="shared" si="4"/>
        <v>0</v>
      </c>
      <c r="P11">
        <v>55</v>
      </c>
      <c r="Q11" s="437">
        <f t="shared" si="5"/>
        <v>440</v>
      </c>
      <c r="R11">
        <v>54</v>
      </c>
      <c r="S11">
        <f t="shared" si="6"/>
        <v>486</v>
      </c>
      <c r="T11">
        <f t="shared" si="11"/>
        <v>6</v>
      </c>
      <c r="U11">
        <f t="shared" si="14"/>
        <v>0</v>
      </c>
      <c r="V11">
        <f t="shared" si="15"/>
        <v>1.65</v>
      </c>
      <c r="W11">
        <f t="shared" si="12"/>
        <v>2046</v>
      </c>
      <c r="AF11" t="str">
        <f t="shared" si="7"/>
        <v>BENALLA</v>
      </c>
      <c r="AG11">
        <f>+E94-B94</f>
        <v>10219.349999999999</v>
      </c>
      <c r="AH11" s="387">
        <f t="shared" si="16"/>
        <v>13900</v>
      </c>
    </row>
    <row r="12" spans="1:34">
      <c r="A12" t="s">
        <v>227</v>
      </c>
      <c r="B12">
        <v>71</v>
      </c>
      <c r="C12">
        <f t="shared" si="17"/>
        <v>3.3</v>
      </c>
      <c r="D12">
        <v>70</v>
      </c>
      <c r="E12" s="436">
        <f t="shared" si="13"/>
        <v>234.29999999999998</v>
      </c>
      <c r="F12">
        <f t="shared" si="8"/>
        <v>234.29999999999998</v>
      </c>
      <c r="G12" s="436">
        <f t="shared" si="0"/>
        <v>1405.8</v>
      </c>
      <c r="H12" s="436">
        <f t="shared" si="9"/>
        <v>234.29999999999998</v>
      </c>
      <c r="I12">
        <v>65</v>
      </c>
      <c r="J12">
        <f t="shared" si="1"/>
        <v>2275</v>
      </c>
      <c r="K12" s="534">
        <v>220</v>
      </c>
      <c r="L12">
        <f t="shared" si="2"/>
        <v>13200</v>
      </c>
      <c r="M12">
        <f t="shared" si="10"/>
        <v>4</v>
      </c>
      <c r="N12">
        <f t="shared" si="3"/>
        <v>-9</v>
      </c>
      <c r="O12">
        <f t="shared" si="4"/>
        <v>0</v>
      </c>
      <c r="P12">
        <v>70</v>
      </c>
      <c r="Q12" s="437">
        <f t="shared" si="5"/>
        <v>560</v>
      </c>
      <c r="R12">
        <v>54</v>
      </c>
      <c r="S12">
        <f t="shared" si="6"/>
        <v>486</v>
      </c>
      <c r="T12">
        <f t="shared" si="11"/>
        <v>6</v>
      </c>
      <c r="U12">
        <f t="shared" si="14"/>
        <v>0</v>
      </c>
      <c r="V12">
        <f t="shared" si="15"/>
        <v>1.65</v>
      </c>
      <c r="W12">
        <f t="shared" si="12"/>
        <v>2343</v>
      </c>
      <c r="AF12" t="str">
        <f t="shared" si="7"/>
        <v>COBRAM</v>
      </c>
      <c r="AG12">
        <f>+F94-B94</f>
        <v>10123.049999999999</v>
      </c>
      <c r="AH12" s="387">
        <f t="shared" si="16"/>
        <v>13770</v>
      </c>
    </row>
    <row r="13" spans="1:34">
      <c r="A13" t="s">
        <v>228</v>
      </c>
      <c r="B13">
        <v>135</v>
      </c>
      <c r="C13">
        <f t="shared" si="17"/>
        <v>3.3</v>
      </c>
      <c r="D13" s="304">
        <f>+D9</f>
        <v>150</v>
      </c>
      <c r="E13" s="436">
        <f t="shared" si="13"/>
        <v>445.5</v>
      </c>
      <c r="F13">
        <f t="shared" si="8"/>
        <v>445.5</v>
      </c>
      <c r="G13" s="436">
        <f t="shared" si="0"/>
        <v>2673</v>
      </c>
      <c r="H13" s="436">
        <f t="shared" si="9"/>
        <v>445.5</v>
      </c>
      <c r="I13">
        <v>85</v>
      </c>
      <c r="J13">
        <f t="shared" si="1"/>
        <v>2975</v>
      </c>
      <c r="K13" s="534">
        <v>345</v>
      </c>
      <c r="L13">
        <f t="shared" si="2"/>
        <v>20700</v>
      </c>
      <c r="M13">
        <f t="shared" si="10"/>
        <v>4</v>
      </c>
      <c r="N13">
        <f t="shared" si="3"/>
        <v>55</v>
      </c>
      <c r="O13">
        <f t="shared" si="4"/>
        <v>440</v>
      </c>
      <c r="P13">
        <v>80</v>
      </c>
      <c r="Q13" s="437">
        <f t="shared" si="5"/>
        <v>640</v>
      </c>
      <c r="R13">
        <v>80</v>
      </c>
      <c r="S13">
        <f t="shared" si="6"/>
        <v>720</v>
      </c>
      <c r="T13">
        <f t="shared" si="11"/>
        <v>6</v>
      </c>
      <c r="U13">
        <f t="shared" si="14"/>
        <v>330</v>
      </c>
      <c r="V13">
        <f t="shared" si="15"/>
        <v>1.65</v>
      </c>
      <c r="W13">
        <f t="shared" si="12"/>
        <v>4455</v>
      </c>
      <c r="AF13" t="str">
        <f t="shared" si="7"/>
        <v>COHUNA</v>
      </c>
      <c r="AG13">
        <f>+G94-B94</f>
        <v>34192.25</v>
      </c>
      <c r="AH13" s="387">
        <f t="shared" si="16"/>
        <v>46510</v>
      </c>
    </row>
    <row r="14" spans="1:34">
      <c r="A14" t="s">
        <v>229</v>
      </c>
      <c r="B14">
        <v>137</v>
      </c>
      <c r="C14">
        <f t="shared" si="17"/>
        <v>3.3</v>
      </c>
      <c r="D14" s="304">
        <f>+D13</f>
        <v>150</v>
      </c>
      <c r="E14" s="436">
        <f t="shared" si="13"/>
        <v>452.09999999999997</v>
      </c>
      <c r="F14">
        <f t="shared" si="8"/>
        <v>452.09999999999997</v>
      </c>
      <c r="G14" s="436">
        <f t="shared" si="0"/>
        <v>2712.6</v>
      </c>
      <c r="H14" s="436">
        <f t="shared" si="9"/>
        <v>452.09999999999997</v>
      </c>
      <c r="I14">
        <v>85</v>
      </c>
      <c r="J14">
        <f t="shared" si="1"/>
        <v>2975</v>
      </c>
      <c r="K14" s="534">
        <v>358</v>
      </c>
      <c r="L14">
        <f t="shared" si="2"/>
        <v>21480</v>
      </c>
      <c r="M14">
        <f t="shared" si="10"/>
        <v>4</v>
      </c>
      <c r="N14">
        <f t="shared" si="3"/>
        <v>57</v>
      </c>
      <c r="O14">
        <f t="shared" si="4"/>
        <v>456</v>
      </c>
      <c r="P14">
        <v>80</v>
      </c>
      <c r="Q14" s="437">
        <f t="shared" si="5"/>
        <v>640</v>
      </c>
      <c r="R14">
        <v>80</v>
      </c>
      <c r="S14">
        <f t="shared" si="6"/>
        <v>720</v>
      </c>
      <c r="T14">
        <f t="shared" si="11"/>
        <v>6</v>
      </c>
      <c r="U14">
        <f t="shared" si="14"/>
        <v>342</v>
      </c>
      <c r="V14">
        <f t="shared" si="15"/>
        <v>1.65</v>
      </c>
      <c r="W14">
        <f t="shared" si="12"/>
        <v>4521</v>
      </c>
      <c r="AF14" t="str">
        <f t="shared" si="7"/>
        <v>DENILIQUIN</v>
      </c>
      <c r="AG14">
        <f>+H94-B94</f>
        <v>35798.85</v>
      </c>
      <c r="AH14" s="387">
        <f>+CEILING(AG14*1.36,10)+D107</f>
        <v>56890</v>
      </c>
    </row>
    <row r="15" spans="1:34">
      <c r="A15" s="438" t="s">
        <v>213</v>
      </c>
      <c r="B15">
        <v>71</v>
      </c>
      <c r="C15">
        <f t="shared" si="17"/>
        <v>3.3</v>
      </c>
      <c r="D15">
        <v>80</v>
      </c>
      <c r="E15" s="436">
        <f t="shared" si="13"/>
        <v>234.29999999999998</v>
      </c>
      <c r="F15">
        <f t="shared" si="8"/>
        <v>234.29999999999998</v>
      </c>
      <c r="G15" s="436">
        <f t="shared" si="0"/>
        <v>1405.8</v>
      </c>
      <c r="H15" s="436">
        <f t="shared" si="9"/>
        <v>234.29999999999998</v>
      </c>
      <c r="I15">
        <v>63</v>
      </c>
      <c r="J15">
        <f t="shared" si="1"/>
        <v>2205</v>
      </c>
      <c r="K15" s="534">
        <v>230</v>
      </c>
      <c r="L15">
        <f t="shared" si="2"/>
        <v>13800</v>
      </c>
      <c r="M15">
        <f t="shared" si="10"/>
        <v>4</v>
      </c>
      <c r="N15">
        <f t="shared" si="3"/>
        <v>-9</v>
      </c>
      <c r="O15">
        <f t="shared" si="4"/>
        <v>0</v>
      </c>
      <c r="P15">
        <v>60</v>
      </c>
      <c r="Q15" s="437">
        <f t="shared" si="5"/>
        <v>480</v>
      </c>
      <c r="R15">
        <v>55</v>
      </c>
      <c r="S15">
        <f t="shared" si="6"/>
        <v>495</v>
      </c>
      <c r="T15">
        <f t="shared" si="11"/>
        <v>6</v>
      </c>
      <c r="U15">
        <f t="shared" si="14"/>
        <v>0</v>
      </c>
      <c r="V15">
        <f t="shared" si="15"/>
        <v>1.65</v>
      </c>
      <c r="W15">
        <f t="shared" si="12"/>
        <v>2343</v>
      </c>
      <c r="AF15" t="str">
        <f t="shared" si="7"/>
        <v>ECHUCA</v>
      </c>
      <c r="AG15">
        <f>+I94-B94</f>
        <v>9970.0499999999993</v>
      </c>
      <c r="AH15" s="387">
        <f t="shared" si="16"/>
        <v>13560</v>
      </c>
    </row>
    <row r="16" spans="1:34">
      <c r="A16" t="s">
        <v>231</v>
      </c>
      <c r="B16">
        <v>49</v>
      </c>
      <c r="C16">
        <f t="shared" si="17"/>
        <v>3.3</v>
      </c>
      <c r="D16">
        <v>90</v>
      </c>
      <c r="E16" s="436">
        <f t="shared" si="13"/>
        <v>161.69999999999999</v>
      </c>
      <c r="F16">
        <f t="shared" si="8"/>
        <v>161.69999999999999</v>
      </c>
      <c r="G16" s="436">
        <f t="shared" si="0"/>
        <v>970.19999999999993</v>
      </c>
      <c r="H16" s="436">
        <f t="shared" si="9"/>
        <v>161.69999999999999</v>
      </c>
      <c r="I16">
        <v>63</v>
      </c>
      <c r="J16">
        <f t="shared" si="1"/>
        <v>2205</v>
      </c>
      <c r="K16" s="534">
        <v>257</v>
      </c>
      <c r="L16">
        <f t="shared" si="2"/>
        <v>15420</v>
      </c>
      <c r="M16">
        <f t="shared" si="10"/>
        <v>4</v>
      </c>
      <c r="N16">
        <f t="shared" si="3"/>
        <v>-31</v>
      </c>
      <c r="O16">
        <f t="shared" si="4"/>
        <v>0</v>
      </c>
      <c r="P16">
        <v>55</v>
      </c>
      <c r="Q16" s="437">
        <f t="shared" si="5"/>
        <v>440</v>
      </c>
      <c r="R16">
        <v>52</v>
      </c>
      <c r="S16">
        <f t="shared" si="6"/>
        <v>468</v>
      </c>
      <c r="T16">
        <f t="shared" si="11"/>
        <v>6</v>
      </c>
      <c r="U16">
        <f t="shared" si="14"/>
        <v>0</v>
      </c>
      <c r="V16">
        <f t="shared" si="15"/>
        <v>1.65</v>
      </c>
      <c r="W16">
        <f t="shared" si="12"/>
        <v>1617</v>
      </c>
      <c r="AF16" t="str">
        <f t="shared" si="7"/>
        <v>EUROA</v>
      </c>
      <c r="AG16">
        <f>+J94-B94</f>
        <v>7887.4500000000007</v>
      </c>
      <c r="AH16" s="387">
        <f t="shared" si="16"/>
        <v>10730</v>
      </c>
    </row>
    <row r="17" spans="1:34">
      <c r="A17" t="s">
        <v>232</v>
      </c>
      <c r="B17">
        <v>101</v>
      </c>
      <c r="C17">
        <f t="shared" si="17"/>
        <v>3.3</v>
      </c>
      <c r="D17" s="304">
        <f>+D13</f>
        <v>150</v>
      </c>
      <c r="E17" s="436">
        <f t="shared" si="13"/>
        <v>333.29999999999995</v>
      </c>
      <c r="F17">
        <f t="shared" si="8"/>
        <v>333.29999999999995</v>
      </c>
      <c r="G17" s="436">
        <f t="shared" si="0"/>
        <v>1999.7999999999997</v>
      </c>
      <c r="H17" s="436">
        <f t="shared" si="9"/>
        <v>333.29999999999995</v>
      </c>
      <c r="I17">
        <v>85</v>
      </c>
      <c r="J17">
        <f t="shared" si="1"/>
        <v>2975</v>
      </c>
      <c r="K17" s="534">
        <v>247</v>
      </c>
      <c r="L17">
        <f t="shared" si="2"/>
        <v>14820</v>
      </c>
      <c r="M17">
        <f t="shared" si="10"/>
        <v>4</v>
      </c>
      <c r="N17">
        <f t="shared" si="3"/>
        <v>21</v>
      </c>
      <c r="O17">
        <f t="shared" si="4"/>
        <v>168</v>
      </c>
      <c r="P17">
        <v>80</v>
      </c>
      <c r="Q17" s="437">
        <f t="shared" si="5"/>
        <v>640</v>
      </c>
      <c r="R17">
        <v>80</v>
      </c>
      <c r="S17">
        <f t="shared" si="6"/>
        <v>720</v>
      </c>
      <c r="T17">
        <f t="shared" si="11"/>
        <v>6</v>
      </c>
      <c r="U17">
        <f t="shared" si="14"/>
        <v>126</v>
      </c>
      <c r="V17">
        <f t="shared" si="15"/>
        <v>1.65</v>
      </c>
      <c r="W17">
        <f t="shared" si="12"/>
        <v>3332.9999999999995</v>
      </c>
      <c r="AF17" t="str">
        <f t="shared" si="7"/>
        <v>FINLEY</v>
      </c>
      <c r="AG17">
        <f>+K94-B94</f>
        <v>23585.050000000003</v>
      </c>
      <c r="AH17" s="387">
        <f>+CEILING(AG17*1.36,10)+D107</f>
        <v>40280</v>
      </c>
    </row>
    <row r="18" spans="1:34">
      <c r="A18" t="s">
        <v>233</v>
      </c>
      <c r="B18">
        <v>29</v>
      </c>
      <c r="C18">
        <f t="shared" si="17"/>
        <v>3.3</v>
      </c>
      <c r="D18" s="304">
        <f>+D10</f>
        <v>110</v>
      </c>
      <c r="E18" s="436">
        <f t="shared" si="13"/>
        <v>95.699999999999989</v>
      </c>
      <c r="F18">
        <f t="shared" si="8"/>
        <v>95.699999999999989</v>
      </c>
      <c r="G18" s="436">
        <f t="shared" si="0"/>
        <v>574.19999999999993</v>
      </c>
      <c r="H18" s="436">
        <f t="shared" si="9"/>
        <v>95.699999999999989</v>
      </c>
      <c r="I18">
        <v>65</v>
      </c>
      <c r="J18">
        <f t="shared" si="1"/>
        <v>2275</v>
      </c>
      <c r="K18" s="534">
        <v>223</v>
      </c>
      <c r="L18">
        <f t="shared" si="2"/>
        <v>13380</v>
      </c>
      <c r="M18">
        <f t="shared" si="10"/>
        <v>4</v>
      </c>
      <c r="N18">
        <f t="shared" si="3"/>
        <v>-51</v>
      </c>
      <c r="O18">
        <f t="shared" si="4"/>
        <v>0</v>
      </c>
      <c r="P18">
        <v>65</v>
      </c>
      <c r="Q18" s="437">
        <f t="shared" si="5"/>
        <v>520</v>
      </c>
      <c r="R18">
        <v>60</v>
      </c>
      <c r="S18">
        <f t="shared" si="6"/>
        <v>540</v>
      </c>
      <c r="T18">
        <f t="shared" si="11"/>
        <v>6</v>
      </c>
      <c r="U18">
        <f t="shared" si="14"/>
        <v>0</v>
      </c>
      <c r="V18">
        <f t="shared" si="15"/>
        <v>1.65</v>
      </c>
      <c r="W18">
        <f t="shared" si="12"/>
        <v>956.99999999999989</v>
      </c>
      <c r="AF18" t="str">
        <f t="shared" si="7"/>
        <v>KATANDRA</v>
      </c>
      <c r="AG18">
        <f>+L94-B94</f>
        <v>5508.4500000000007</v>
      </c>
      <c r="AH18" s="387">
        <f t="shared" si="16"/>
        <v>7500</v>
      </c>
    </row>
    <row r="19" spans="1:34">
      <c r="A19" t="s">
        <v>235</v>
      </c>
      <c r="B19">
        <v>158</v>
      </c>
      <c r="C19">
        <f t="shared" si="17"/>
        <v>3.3</v>
      </c>
      <c r="D19" s="304">
        <f>+D14</f>
        <v>150</v>
      </c>
      <c r="E19" s="436">
        <f t="shared" si="13"/>
        <v>521.4</v>
      </c>
      <c r="F19">
        <f t="shared" si="8"/>
        <v>521.4</v>
      </c>
      <c r="G19" s="436">
        <f t="shared" si="0"/>
        <v>3128.3999999999996</v>
      </c>
      <c r="H19" s="436">
        <f t="shared" si="9"/>
        <v>521.4</v>
      </c>
      <c r="I19">
        <v>85</v>
      </c>
      <c r="J19">
        <f t="shared" si="1"/>
        <v>2975</v>
      </c>
      <c r="K19" s="534">
        <v>345</v>
      </c>
      <c r="L19">
        <f t="shared" si="2"/>
        <v>20700</v>
      </c>
      <c r="M19">
        <f t="shared" si="10"/>
        <v>4</v>
      </c>
      <c r="N19">
        <f t="shared" si="3"/>
        <v>78</v>
      </c>
      <c r="O19">
        <f t="shared" si="4"/>
        <v>624</v>
      </c>
      <c r="P19">
        <v>80</v>
      </c>
      <c r="Q19" s="437">
        <f t="shared" si="5"/>
        <v>640</v>
      </c>
      <c r="R19">
        <v>80</v>
      </c>
      <c r="S19">
        <f t="shared" si="6"/>
        <v>720</v>
      </c>
      <c r="T19">
        <f t="shared" si="11"/>
        <v>6</v>
      </c>
      <c r="U19">
        <f t="shared" si="14"/>
        <v>468</v>
      </c>
      <c r="V19">
        <f t="shared" si="15"/>
        <v>1.65</v>
      </c>
      <c r="W19">
        <f t="shared" si="12"/>
        <v>5214</v>
      </c>
      <c r="AF19" t="str">
        <f t="shared" si="7"/>
        <v>KOONDROOK</v>
      </c>
      <c r="AG19">
        <f>+M94-B94</f>
        <v>36608.15</v>
      </c>
      <c r="AH19" s="387">
        <f t="shared" si="16"/>
        <v>49790</v>
      </c>
    </row>
    <row r="20" spans="1:34">
      <c r="A20" t="s">
        <v>237</v>
      </c>
      <c r="B20">
        <v>37</v>
      </c>
      <c r="C20">
        <f t="shared" si="17"/>
        <v>3.3</v>
      </c>
      <c r="D20">
        <v>50</v>
      </c>
      <c r="E20" s="436">
        <f t="shared" si="13"/>
        <v>122.1</v>
      </c>
      <c r="F20">
        <f t="shared" si="8"/>
        <v>122.1</v>
      </c>
      <c r="G20" s="436">
        <f t="shared" si="0"/>
        <v>732.59999999999991</v>
      </c>
      <c r="H20" s="436">
        <f t="shared" si="9"/>
        <v>122.1</v>
      </c>
      <c r="I20">
        <v>63</v>
      </c>
      <c r="J20">
        <f t="shared" si="1"/>
        <v>2205</v>
      </c>
      <c r="K20" s="534">
        <v>230</v>
      </c>
      <c r="L20">
        <f t="shared" si="2"/>
        <v>13800</v>
      </c>
      <c r="M20">
        <f t="shared" si="10"/>
        <v>4</v>
      </c>
      <c r="N20">
        <f t="shared" si="3"/>
        <v>-43</v>
      </c>
      <c r="O20">
        <f t="shared" si="4"/>
        <v>0</v>
      </c>
      <c r="P20">
        <v>75</v>
      </c>
      <c r="Q20" s="437">
        <f t="shared" si="5"/>
        <v>600</v>
      </c>
      <c r="R20">
        <v>52</v>
      </c>
      <c r="S20">
        <f t="shared" si="6"/>
        <v>468</v>
      </c>
      <c r="T20">
        <f t="shared" si="11"/>
        <v>6</v>
      </c>
      <c r="U20">
        <f t="shared" si="14"/>
        <v>0</v>
      </c>
      <c r="V20">
        <f t="shared" si="15"/>
        <v>1.65</v>
      </c>
      <c r="W20">
        <f t="shared" si="12"/>
        <v>1221</v>
      </c>
      <c r="AF20" t="str">
        <f t="shared" si="7"/>
        <v>KYABRAM</v>
      </c>
      <c r="AG20">
        <f>+N94-B94</f>
        <v>4175.8499999999985</v>
      </c>
      <c r="AH20" s="387">
        <f t="shared" si="16"/>
        <v>5680</v>
      </c>
    </row>
    <row r="21" spans="1:34">
      <c r="A21" t="s">
        <v>238</v>
      </c>
      <c r="B21">
        <v>125</v>
      </c>
      <c r="C21">
        <f t="shared" si="17"/>
        <v>3.3</v>
      </c>
      <c r="D21">
        <v>110</v>
      </c>
      <c r="E21" s="436">
        <f t="shared" si="13"/>
        <v>412.5</v>
      </c>
      <c r="F21">
        <f t="shared" si="8"/>
        <v>412.5</v>
      </c>
      <c r="G21" s="436">
        <f t="shared" si="0"/>
        <v>2475</v>
      </c>
      <c r="H21" s="436">
        <f t="shared" si="9"/>
        <v>412.5</v>
      </c>
      <c r="I21">
        <v>85</v>
      </c>
      <c r="J21">
        <f t="shared" si="1"/>
        <v>2975</v>
      </c>
      <c r="K21" s="534">
        <v>279</v>
      </c>
      <c r="L21">
        <f t="shared" si="2"/>
        <v>16740</v>
      </c>
      <c r="M21">
        <f t="shared" si="10"/>
        <v>4</v>
      </c>
      <c r="N21">
        <f t="shared" si="3"/>
        <v>45</v>
      </c>
      <c r="O21">
        <f t="shared" si="4"/>
        <v>360</v>
      </c>
      <c r="P21">
        <v>70</v>
      </c>
      <c r="Q21" s="437">
        <f t="shared" si="5"/>
        <v>560</v>
      </c>
      <c r="R21">
        <v>80</v>
      </c>
      <c r="S21">
        <f t="shared" si="6"/>
        <v>720</v>
      </c>
      <c r="T21">
        <f t="shared" si="11"/>
        <v>6</v>
      </c>
      <c r="U21">
        <f t="shared" si="14"/>
        <v>270</v>
      </c>
      <c r="V21">
        <f t="shared" si="15"/>
        <v>1.65</v>
      </c>
      <c r="W21">
        <f t="shared" si="12"/>
        <v>4125</v>
      </c>
      <c r="AF21" t="str">
        <f t="shared" si="7"/>
        <v>MANSFIELD</v>
      </c>
      <c r="AG21">
        <f>+O94-B94</f>
        <v>31259.25</v>
      </c>
      <c r="AH21" s="387">
        <f t="shared" si="16"/>
        <v>42520</v>
      </c>
    </row>
    <row r="22" spans="1:34">
      <c r="A22" t="s">
        <v>1022</v>
      </c>
      <c r="B22">
        <v>103</v>
      </c>
      <c r="C22">
        <f t="shared" si="17"/>
        <v>3.3</v>
      </c>
      <c r="D22" s="304">
        <f>+D19</f>
        <v>150</v>
      </c>
      <c r="E22" s="436">
        <f t="shared" si="13"/>
        <v>339.9</v>
      </c>
      <c r="F22">
        <f t="shared" si="8"/>
        <v>339.9</v>
      </c>
      <c r="G22" s="436">
        <f t="shared" si="0"/>
        <v>2039.3999999999999</v>
      </c>
      <c r="H22" s="436">
        <f t="shared" si="9"/>
        <v>339.9</v>
      </c>
      <c r="I22">
        <v>85</v>
      </c>
      <c r="J22">
        <f t="shared" si="1"/>
        <v>2975</v>
      </c>
      <c r="K22" s="534">
        <f>+K14</f>
        <v>358</v>
      </c>
      <c r="L22">
        <f t="shared" si="2"/>
        <v>21480</v>
      </c>
      <c r="M22">
        <f t="shared" si="10"/>
        <v>4</v>
      </c>
      <c r="N22">
        <f t="shared" si="3"/>
        <v>23</v>
      </c>
      <c r="O22">
        <f t="shared" si="4"/>
        <v>184</v>
      </c>
      <c r="P22">
        <v>80</v>
      </c>
      <c r="Q22" s="437">
        <f t="shared" si="5"/>
        <v>640</v>
      </c>
      <c r="R22">
        <v>80</v>
      </c>
      <c r="S22">
        <f t="shared" si="6"/>
        <v>720</v>
      </c>
      <c r="T22">
        <f t="shared" si="11"/>
        <v>6</v>
      </c>
      <c r="U22">
        <f t="shared" si="14"/>
        <v>138</v>
      </c>
      <c r="V22">
        <f t="shared" si="15"/>
        <v>1.65</v>
      </c>
      <c r="W22">
        <f t="shared" si="12"/>
        <v>3399</v>
      </c>
      <c r="AF22" t="str">
        <f t="shared" si="7"/>
        <v>MATHOURA</v>
      </c>
      <c r="AG22">
        <f>+P94-B94</f>
        <v>31293.65</v>
      </c>
      <c r="AH22" s="387">
        <f>+CEILING(AG22*1.36,10)+D107</f>
        <v>50760</v>
      </c>
    </row>
    <row r="23" spans="1:34">
      <c r="A23" t="s">
        <v>241</v>
      </c>
      <c r="B23">
        <v>43</v>
      </c>
      <c r="C23">
        <f t="shared" si="17"/>
        <v>3.3</v>
      </c>
      <c r="D23">
        <v>90</v>
      </c>
      <c r="E23" s="436">
        <f t="shared" si="13"/>
        <v>141.9</v>
      </c>
      <c r="F23">
        <f t="shared" si="8"/>
        <v>141.9</v>
      </c>
      <c r="G23" s="436">
        <f t="shared" si="0"/>
        <v>851.40000000000009</v>
      </c>
      <c r="H23" s="436">
        <f t="shared" si="9"/>
        <v>141.9</v>
      </c>
      <c r="I23">
        <v>65</v>
      </c>
      <c r="J23">
        <f t="shared" si="1"/>
        <v>2275</v>
      </c>
      <c r="K23" s="534">
        <v>218</v>
      </c>
      <c r="L23">
        <f t="shared" si="2"/>
        <v>13080</v>
      </c>
      <c r="M23">
        <f t="shared" si="10"/>
        <v>4</v>
      </c>
      <c r="N23">
        <f t="shared" si="3"/>
        <v>-37</v>
      </c>
      <c r="O23">
        <f t="shared" si="4"/>
        <v>0</v>
      </c>
      <c r="P23">
        <v>55</v>
      </c>
      <c r="Q23" s="437">
        <f t="shared" si="5"/>
        <v>440</v>
      </c>
      <c r="R23">
        <v>52</v>
      </c>
      <c r="S23">
        <f t="shared" si="6"/>
        <v>468</v>
      </c>
      <c r="T23">
        <f t="shared" si="11"/>
        <v>6</v>
      </c>
      <c r="U23">
        <f t="shared" si="14"/>
        <v>0</v>
      </c>
      <c r="V23">
        <f t="shared" si="15"/>
        <v>1.65</v>
      </c>
      <c r="W23">
        <f t="shared" si="12"/>
        <v>1419</v>
      </c>
      <c r="AF23" t="str">
        <f t="shared" si="7"/>
        <v>MURCHISON</v>
      </c>
      <c r="AG23">
        <f>+Q94-B94</f>
        <v>4961.6500000000015</v>
      </c>
      <c r="AH23" s="387">
        <f t="shared" si="16"/>
        <v>6750</v>
      </c>
    </row>
    <row r="24" spans="1:34">
      <c r="A24" t="s">
        <v>242</v>
      </c>
      <c r="B24">
        <v>60</v>
      </c>
      <c r="C24">
        <f t="shared" si="17"/>
        <v>3.3</v>
      </c>
      <c r="D24">
        <v>70</v>
      </c>
      <c r="E24" s="436">
        <f t="shared" si="13"/>
        <v>198</v>
      </c>
      <c r="F24">
        <f t="shared" si="8"/>
        <v>198</v>
      </c>
      <c r="G24" s="436">
        <f t="shared" si="0"/>
        <v>1188</v>
      </c>
      <c r="H24" s="436">
        <f t="shared" si="9"/>
        <v>198</v>
      </c>
      <c r="I24">
        <v>65</v>
      </c>
      <c r="J24">
        <f t="shared" si="1"/>
        <v>2275</v>
      </c>
      <c r="K24" s="534">
        <v>210</v>
      </c>
      <c r="L24">
        <f t="shared" si="2"/>
        <v>12600</v>
      </c>
      <c r="M24">
        <f t="shared" si="10"/>
        <v>4</v>
      </c>
      <c r="N24">
        <f t="shared" si="3"/>
        <v>-20</v>
      </c>
      <c r="O24">
        <f t="shared" si="4"/>
        <v>0</v>
      </c>
      <c r="P24">
        <v>50</v>
      </c>
      <c r="Q24" s="437">
        <f t="shared" si="5"/>
        <v>400</v>
      </c>
      <c r="R24">
        <v>54</v>
      </c>
      <c r="S24">
        <f t="shared" si="6"/>
        <v>486</v>
      </c>
      <c r="T24">
        <f t="shared" si="11"/>
        <v>6</v>
      </c>
      <c r="U24">
        <f t="shared" si="14"/>
        <v>0</v>
      </c>
      <c r="V24">
        <f t="shared" si="15"/>
        <v>1.65</v>
      </c>
      <c r="W24">
        <f t="shared" si="12"/>
        <v>1980</v>
      </c>
      <c r="AF24" t="str">
        <f t="shared" si="7"/>
        <v>NAGAMBIE</v>
      </c>
      <c r="AG24">
        <f>+R94-B94</f>
        <v>7170.75</v>
      </c>
      <c r="AH24" s="387">
        <f t="shared" si="16"/>
        <v>9760</v>
      </c>
    </row>
    <row r="25" spans="1:34">
      <c r="A25" t="s">
        <v>243</v>
      </c>
      <c r="B25">
        <v>40</v>
      </c>
      <c r="C25">
        <f t="shared" si="17"/>
        <v>3.3</v>
      </c>
      <c r="D25">
        <v>70</v>
      </c>
      <c r="E25" s="436">
        <f t="shared" si="13"/>
        <v>132</v>
      </c>
      <c r="F25">
        <f t="shared" si="8"/>
        <v>132</v>
      </c>
      <c r="G25" s="436">
        <f t="shared" si="0"/>
        <v>792</v>
      </c>
      <c r="H25" s="436">
        <f t="shared" si="9"/>
        <v>132</v>
      </c>
      <c r="I25">
        <v>63</v>
      </c>
      <c r="J25">
        <f t="shared" si="1"/>
        <v>2205</v>
      </c>
      <c r="K25" s="534">
        <v>232</v>
      </c>
      <c r="L25">
        <f t="shared" si="2"/>
        <v>13920</v>
      </c>
      <c r="M25">
        <f t="shared" si="10"/>
        <v>4</v>
      </c>
      <c r="N25">
        <f t="shared" si="3"/>
        <v>-40</v>
      </c>
      <c r="O25">
        <f t="shared" si="4"/>
        <v>0</v>
      </c>
      <c r="P25">
        <v>65</v>
      </c>
      <c r="Q25" s="437">
        <f t="shared" si="5"/>
        <v>520</v>
      </c>
      <c r="R25">
        <v>52</v>
      </c>
      <c r="S25">
        <f t="shared" si="6"/>
        <v>468</v>
      </c>
      <c r="T25">
        <f t="shared" si="11"/>
        <v>6</v>
      </c>
      <c r="U25">
        <f t="shared" si="14"/>
        <v>0</v>
      </c>
      <c r="V25">
        <f t="shared" si="15"/>
        <v>1.65</v>
      </c>
      <c r="W25">
        <f t="shared" si="12"/>
        <v>1320</v>
      </c>
      <c r="AF25" t="str">
        <f t="shared" si="7"/>
        <v>NATHALIA</v>
      </c>
      <c r="AG25">
        <f>+S94-B94</f>
        <v>5623.75</v>
      </c>
      <c r="AH25" s="387">
        <f t="shared" si="16"/>
        <v>7650</v>
      </c>
    </row>
    <row r="26" spans="1:34">
      <c r="A26" t="s">
        <v>244</v>
      </c>
      <c r="B26">
        <v>35</v>
      </c>
      <c r="C26">
        <f t="shared" si="17"/>
        <v>3.3</v>
      </c>
      <c r="D26">
        <v>60</v>
      </c>
      <c r="E26" s="436">
        <f t="shared" si="13"/>
        <v>115.5</v>
      </c>
      <c r="F26">
        <f t="shared" si="8"/>
        <v>115.5</v>
      </c>
      <c r="G26" s="436">
        <f t="shared" si="0"/>
        <v>693</v>
      </c>
      <c r="H26" s="436">
        <f t="shared" si="9"/>
        <v>115.5</v>
      </c>
      <c r="I26">
        <v>51</v>
      </c>
      <c r="J26">
        <f t="shared" si="1"/>
        <v>1785</v>
      </c>
      <c r="K26" s="534">
        <v>220</v>
      </c>
      <c r="L26">
        <f t="shared" si="2"/>
        <v>13200</v>
      </c>
      <c r="M26">
        <f t="shared" si="10"/>
        <v>4</v>
      </c>
      <c r="N26">
        <f t="shared" si="3"/>
        <v>-45</v>
      </c>
      <c r="O26">
        <f t="shared" si="4"/>
        <v>0</v>
      </c>
      <c r="P26">
        <v>55</v>
      </c>
      <c r="Q26" s="437">
        <f t="shared" si="5"/>
        <v>440</v>
      </c>
      <c r="R26">
        <v>44</v>
      </c>
      <c r="S26">
        <f t="shared" si="6"/>
        <v>396</v>
      </c>
      <c r="T26">
        <f t="shared" si="11"/>
        <v>6</v>
      </c>
      <c r="U26">
        <f t="shared" si="14"/>
        <v>0</v>
      </c>
      <c r="V26">
        <f t="shared" si="15"/>
        <v>1.65</v>
      </c>
      <c r="W26">
        <f t="shared" si="12"/>
        <v>1155</v>
      </c>
      <c r="AF26" t="str">
        <f t="shared" si="7"/>
        <v>NUMURKAH</v>
      </c>
      <c r="AG26">
        <f>+T94-B94</f>
        <v>3200.25</v>
      </c>
      <c r="AH26" s="387">
        <f t="shared" si="16"/>
        <v>4360</v>
      </c>
    </row>
    <row r="27" spans="1:34">
      <c r="A27" t="s">
        <v>245</v>
      </c>
      <c r="B27">
        <v>70</v>
      </c>
      <c r="C27">
        <f t="shared" si="17"/>
        <v>3.3</v>
      </c>
      <c r="D27">
        <v>90</v>
      </c>
      <c r="E27" s="436">
        <f t="shared" si="13"/>
        <v>231</v>
      </c>
      <c r="F27">
        <f t="shared" si="8"/>
        <v>231</v>
      </c>
      <c r="G27" s="436">
        <f t="shared" si="0"/>
        <v>1386</v>
      </c>
      <c r="H27" s="436">
        <f t="shared" si="9"/>
        <v>231</v>
      </c>
      <c r="I27">
        <v>65</v>
      </c>
      <c r="J27">
        <f t="shared" si="1"/>
        <v>2275</v>
      </c>
      <c r="K27" s="534">
        <v>256</v>
      </c>
      <c r="L27">
        <f t="shared" si="2"/>
        <v>15360</v>
      </c>
      <c r="M27">
        <f t="shared" si="10"/>
        <v>4</v>
      </c>
      <c r="N27">
        <f t="shared" si="3"/>
        <v>-10</v>
      </c>
      <c r="O27">
        <f t="shared" si="4"/>
        <v>0</v>
      </c>
      <c r="P27">
        <v>75</v>
      </c>
      <c r="Q27" s="437">
        <f t="shared" si="5"/>
        <v>600</v>
      </c>
      <c r="R27">
        <v>54</v>
      </c>
      <c r="S27">
        <f t="shared" si="6"/>
        <v>486</v>
      </c>
      <c r="T27">
        <f t="shared" si="11"/>
        <v>6</v>
      </c>
      <c r="U27">
        <f t="shared" si="14"/>
        <v>0</v>
      </c>
      <c r="V27">
        <f t="shared" si="15"/>
        <v>1.65</v>
      </c>
      <c r="W27">
        <f t="shared" si="12"/>
        <v>2310</v>
      </c>
      <c r="AF27" t="str">
        <f t="shared" si="7"/>
        <v>ROCHESTER</v>
      </c>
      <c r="AG27">
        <f>+U94-B94</f>
        <v>11533.75</v>
      </c>
      <c r="AH27" s="387">
        <f t="shared" si="16"/>
        <v>15690</v>
      </c>
    </row>
    <row r="28" spans="1:34">
      <c r="A28" t="s">
        <v>246</v>
      </c>
      <c r="B28">
        <v>48</v>
      </c>
      <c r="C28">
        <f t="shared" si="17"/>
        <v>3.3</v>
      </c>
      <c r="D28">
        <v>90</v>
      </c>
      <c r="E28" s="436">
        <f t="shared" si="13"/>
        <v>158.39999999999998</v>
      </c>
      <c r="F28">
        <f t="shared" si="8"/>
        <v>158.39999999999998</v>
      </c>
      <c r="G28" s="436">
        <f t="shared" si="0"/>
        <v>950.39999999999986</v>
      </c>
      <c r="H28" s="436">
        <f t="shared" si="9"/>
        <v>158.39999999999998</v>
      </c>
      <c r="I28">
        <v>65</v>
      </c>
      <c r="J28">
        <f t="shared" si="1"/>
        <v>2275</v>
      </c>
      <c r="K28" s="534">
        <v>242</v>
      </c>
      <c r="L28">
        <f t="shared" si="2"/>
        <v>14520</v>
      </c>
      <c r="M28">
        <f t="shared" si="10"/>
        <v>4</v>
      </c>
      <c r="N28">
        <f t="shared" si="3"/>
        <v>-32</v>
      </c>
      <c r="O28">
        <f t="shared" si="4"/>
        <v>0</v>
      </c>
      <c r="P28">
        <v>80</v>
      </c>
      <c r="Q28" s="437">
        <f t="shared" si="5"/>
        <v>640</v>
      </c>
      <c r="R28">
        <v>52</v>
      </c>
      <c r="S28">
        <f t="shared" si="6"/>
        <v>468</v>
      </c>
      <c r="T28">
        <f t="shared" si="11"/>
        <v>6</v>
      </c>
      <c r="U28">
        <f t="shared" si="14"/>
        <v>0</v>
      </c>
      <c r="V28">
        <f t="shared" si="15"/>
        <v>1.65</v>
      </c>
      <c r="W28">
        <f t="shared" si="12"/>
        <v>1583.9999999999998</v>
      </c>
      <c r="AF28" t="str">
        <f t="shared" si="7"/>
        <v>RUSHWORTH</v>
      </c>
      <c r="AG28">
        <f>+V94-B94</f>
        <v>6488.1500000000015</v>
      </c>
      <c r="AH28" s="387">
        <f t="shared" si="16"/>
        <v>8830</v>
      </c>
    </row>
    <row r="29" spans="1:34">
      <c r="A29" t="s">
        <v>247</v>
      </c>
      <c r="B29">
        <v>86</v>
      </c>
      <c r="C29">
        <f t="shared" si="17"/>
        <v>3.3</v>
      </c>
      <c r="D29">
        <v>110</v>
      </c>
      <c r="E29" s="436">
        <f t="shared" si="13"/>
        <v>283.8</v>
      </c>
      <c r="F29">
        <f t="shared" si="8"/>
        <v>283.8</v>
      </c>
      <c r="G29" s="436">
        <f t="shared" si="0"/>
        <v>1702.8000000000002</v>
      </c>
      <c r="H29" s="436">
        <f t="shared" si="9"/>
        <v>283.8</v>
      </c>
      <c r="I29">
        <v>65</v>
      </c>
      <c r="J29">
        <f t="shared" si="1"/>
        <v>2275</v>
      </c>
      <c r="K29" s="534">
        <v>220</v>
      </c>
      <c r="L29">
        <f t="shared" si="2"/>
        <v>13200</v>
      </c>
      <c r="M29">
        <f t="shared" si="10"/>
        <v>4</v>
      </c>
      <c r="N29">
        <f t="shared" si="3"/>
        <v>6</v>
      </c>
      <c r="O29">
        <f t="shared" si="4"/>
        <v>48</v>
      </c>
      <c r="P29">
        <v>55</v>
      </c>
      <c r="Q29" s="437">
        <f t="shared" si="5"/>
        <v>440</v>
      </c>
      <c r="R29">
        <v>54</v>
      </c>
      <c r="S29">
        <f t="shared" si="6"/>
        <v>486</v>
      </c>
      <c r="T29">
        <f t="shared" si="11"/>
        <v>6</v>
      </c>
      <c r="U29">
        <f t="shared" si="14"/>
        <v>36</v>
      </c>
      <c r="V29">
        <f t="shared" si="15"/>
        <v>1.65</v>
      </c>
      <c r="W29">
        <f t="shared" si="12"/>
        <v>2838</v>
      </c>
      <c r="AF29" t="str">
        <f t="shared" si="7"/>
        <v>SEYMOUR</v>
      </c>
      <c r="AG29">
        <f>+W94-B94</f>
        <v>11581.55</v>
      </c>
      <c r="AH29" s="387">
        <f t="shared" si="16"/>
        <v>15760</v>
      </c>
    </row>
    <row r="30" spans="1:34">
      <c r="A30" t="s">
        <v>249</v>
      </c>
      <c r="B30">
        <v>42</v>
      </c>
      <c r="C30">
        <f t="shared" si="17"/>
        <v>3.3</v>
      </c>
      <c r="D30">
        <v>60</v>
      </c>
      <c r="E30" s="436">
        <f t="shared" si="13"/>
        <v>138.6</v>
      </c>
      <c r="F30">
        <f t="shared" si="8"/>
        <v>138.6</v>
      </c>
      <c r="G30" s="436">
        <f t="shared" si="0"/>
        <v>831.59999999999991</v>
      </c>
      <c r="H30" s="436">
        <f t="shared" si="9"/>
        <v>138.6</v>
      </c>
      <c r="I30">
        <v>63</v>
      </c>
      <c r="J30">
        <f t="shared" si="1"/>
        <v>2205</v>
      </c>
      <c r="K30" s="534">
        <v>232</v>
      </c>
      <c r="L30">
        <f t="shared" si="2"/>
        <v>13920</v>
      </c>
      <c r="M30">
        <f t="shared" si="10"/>
        <v>4</v>
      </c>
      <c r="N30">
        <f t="shared" si="3"/>
        <v>-38</v>
      </c>
      <c r="O30">
        <f t="shared" si="4"/>
        <v>0</v>
      </c>
      <c r="P30">
        <v>80</v>
      </c>
      <c r="Q30" s="437">
        <f t="shared" si="5"/>
        <v>640</v>
      </c>
      <c r="R30">
        <v>52</v>
      </c>
      <c r="S30">
        <f t="shared" si="6"/>
        <v>468</v>
      </c>
      <c r="T30">
        <f t="shared" si="11"/>
        <v>6</v>
      </c>
      <c r="U30">
        <f t="shared" si="14"/>
        <v>0</v>
      </c>
      <c r="V30">
        <f t="shared" si="15"/>
        <v>1.65</v>
      </c>
      <c r="W30">
        <f t="shared" si="12"/>
        <v>1386</v>
      </c>
      <c r="AF30" t="str">
        <f t="shared" si="7"/>
        <v>STANHOPE</v>
      </c>
      <c r="AG30">
        <f>+X94-B94</f>
        <v>5502.3499999999985</v>
      </c>
      <c r="AH30" s="387">
        <f t="shared" si="16"/>
        <v>7490</v>
      </c>
    </row>
    <row r="31" spans="1:34">
      <c r="A31" t="s">
        <v>248</v>
      </c>
      <c r="B31">
        <v>56</v>
      </c>
      <c r="C31">
        <f t="shared" si="17"/>
        <v>3.3</v>
      </c>
      <c r="D31">
        <v>70</v>
      </c>
      <c r="E31" s="436">
        <f t="shared" si="13"/>
        <v>184.79999999999998</v>
      </c>
      <c r="F31">
        <f t="shared" si="8"/>
        <v>184.79999999999998</v>
      </c>
      <c r="G31" s="436">
        <f t="shared" si="0"/>
        <v>1108.8</v>
      </c>
      <c r="H31" s="436">
        <f t="shared" si="9"/>
        <v>184.79999999999998</v>
      </c>
      <c r="I31">
        <v>65</v>
      </c>
      <c r="J31">
        <f t="shared" si="1"/>
        <v>2275</v>
      </c>
      <c r="K31" s="534">
        <v>216</v>
      </c>
      <c r="L31">
        <f t="shared" si="2"/>
        <v>12960</v>
      </c>
      <c r="M31">
        <f t="shared" si="10"/>
        <v>4</v>
      </c>
      <c r="N31">
        <f t="shared" si="3"/>
        <v>-24</v>
      </c>
      <c r="O31">
        <f t="shared" si="4"/>
        <v>0</v>
      </c>
      <c r="P31">
        <v>70</v>
      </c>
      <c r="Q31" s="437">
        <f t="shared" si="5"/>
        <v>560</v>
      </c>
      <c r="R31">
        <v>52</v>
      </c>
      <c r="S31">
        <f t="shared" si="6"/>
        <v>468</v>
      </c>
      <c r="T31">
        <f t="shared" si="11"/>
        <v>6</v>
      </c>
      <c r="U31">
        <f t="shared" si="14"/>
        <v>0</v>
      </c>
      <c r="V31">
        <f t="shared" si="15"/>
        <v>1.65</v>
      </c>
      <c r="W31">
        <f t="shared" si="12"/>
        <v>1847.9999999999998</v>
      </c>
      <c r="AF31" t="str">
        <f t="shared" si="7"/>
        <v>STRATHMERTON</v>
      </c>
      <c r="AG31">
        <f>+Y94-B94</f>
        <v>6853.5499999999993</v>
      </c>
      <c r="AH31" s="387">
        <f t="shared" si="16"/>
        <v>9330</v>
      </c>
    </row>
    <row r="32" spans="1:34">
      <c r="A32" t="s">
        <v>250</v>
      </c>
      <c r="B32">
        <v>20</v>
      </c>
      <c r="C32">
        <f t="shared" si="17"/>
        <v>3.3</v>
      </c>
      <c r="D32" s="304">
        <f>+D8</f>
        <v>45.45</v>
      </c>
      <c r="E32" s="436">
        <f t="shared" si="13"/>
        <v>66</v>
      </c>
      <c r="F32">
        <f t="shared" si="8"/>
        <v>66</v>
      </c>
      <c r="G32" s="436">
        <f t="shared" si="0"/>
        <v>396</v>
      </c>
      <c r="H32" s="436">
        <f t="shared" si="9"/>
        <v>66</v>
      </c>
      <c r="I32">
        <v>51</v>
      </c>
      <c r="J32">
        <f t="shared" si="1"/>
        <v>1785</v>
      </c>
      <c r="K32" s="534">
        <v>210</v>
      </c>
      <c r="L32">
        <f t="shared" si="2"/>
        <v>12600</v>
      </c>
      <c r="M32">
        <f t="shared" si="10"/>
        <v>4</v>
      </c>
      <c r="N32">
        <f t="shared" si="3"/>
        <v>-60</v>
      </c>
      <c r="O32">
        <f t="shared" si="4"/>
        <v>0</v>
      </c>
      <c r="P32">
        <v>60</v>
      </c>
      <c r="Q32" s="437">
        <f t="shared" si="5"/>
        <v>480</v>
      </c>
      <c r="R32">
        <v>44</v>
      </c>
      <c r="S32">
        <f t="shared" si="6"/>
        <v>396</v>
      </c>
      <c r="T32">
        <f t="shared" si="11"/>
        <v>6</v>
      </c>
      <c r="U32">
        <f t="shared" si="14"/>
        <v>0</v>
      </c>
      <c r="V32">
        <f t="shared" si="15"/>
        <v>1.65</v>
      </c>
      <c r="W32">
        <f t="shared" si="12"/>
        <v>660</v>
      </c>
      <c r="AF32" t="str">
        <f t="shared" si="7"/>
        <v>TATURA</v>
      </c>
      <c r="AG32">
        <f>+Z94-B94</f>
        <v>890</v>
      </c>
      <c r="AH32" s="387">
        <f t="shared" si="16"/>
        <v>1220</v>
      </c>
    </row>
    <row r="33" spans="1:34">
      <c r="A33" t="s">
        <v>252</v>
      </c>
      <c r="B33">
        <v>57</v>
      </c>
      <c r="C33">
        <f t="shared" si="17"/>
        <v>3.3</v>
      </c>
      <c r="D33">
        <v>80</v>
      </c>
      <c r="E33" s="436">
        <f t="shared" si="13"/>
        <v>188.1</v>
      </c>
      <c r="F33">
        <f t="shared" si="8"/>
        <v>188.1</v>
      </c>
      <c r="G33" s="436">
        <f t="shared" si="0"/>
        <v>1128.5999999999999</v>
      </c>
      <c r="H33" s="436">
        <f t="shared" si="9"/>
        <v>188.1</v>
      </c>
      <c r="I33">
        <v>65</v>
      </c>
      <c r="J33">
        <f t="shared" si="1"/>
        <v>2275</v>
      </c>
      <c r="K33" s="534">
        <v>230</v>
      </c>
      <c r="L33">
        <f t="shared" si="2"/>
        <v>13800</v>
      </c>
      <c r="M33">
        <f t="shared" si="10"/>
        <v>4</v>
      </c>
      <c r="N33">
        <f t="shared" si="3"/>
        <v>-23</v>
      </c>
      <c r="O33">
        <f t="shared" si="4"/>
        <v>0</v>
      </c>
      <c r="P33">
        <v>85</v>
      </c>
      <c r="Q33" s="437">
        <f t="shared" si="5"/>
        <v>680</v>
      </c>
      <c r="R33">
        <v>52</v>
      </c>
      <c r="S33">
        <f t="shared" si="6"/>
        <v>468</v>
      </c>
      <c r="T33">
        <f t="shared" si="11"/>
        <v>6</v>
      </c>
      <c r="U33">
        <f t="shared" si="14"/>
        <v>0</v>
      </c>
      <c r="V33">
        <f t="shared" si="15"/>
        <v>1.65</v>
      </c>
      <c r="W33">
        <f t="shared" si="12"/>
        <v>1881</v>
      </c>
      <c r="AF33" t="str">
        <f t="shared" si="7"/>
        <v>TONGALA</v>
      </c>
      <c r="AG33">
        <f>+AA94-B94</f>
        <v>7282.8499999999985</v>
      </c>
      <c r="AH33" s="387">
        <f t="shared" si="16"/>
        <v>9910</v>
      </c>
    </row>
    <row r="34" spans="1:34">
      <c r="A34" t="s">
        <v>253</v>
      </c>
      <c r="B34">
        <v>59</v>
      </c>
      <c r="C34">
        <f t="shared" si="17"/>
        <v>3.3</v>
      </c>
      <c r="D34" s="304">
        <f>+D10</f>
        <v>110</v>
      </c>
      <c r="E34" s="436">
        <f t="shared" si="13"/>
        <v>194.7</v>
      </c>
      <c r="F34">
        <f t="shared" si="8"/>
        <v>194.7</v>
      </c>
      <c r="G34" s="436">
        <f t="shared" si="0"/>
        <v>1168.1999999999998</v>
      </c>
      <c r="H34" s="436">
        <f t="shared" si="9"/>
        <v>194.7</v>
      </c>
      <c r="I34">
        <v>65</v>
      </c>
      <c r="J34">
        <f t="shared" si="1"/>
        <v>2275</v>
      </c>
      <c r="K34" s="534">
        <v>240</v>
      </c>
      <c r="L34">
        <f t="shared" si="2"/>
        <v>14400</v>
      </c>
      <c r="M34">
        <f t="shared" si="10"/>
        <v>4</v>
      </c>
      <c r="N34">
        <f t="shared" si="3"/>
        <v>-21</v>
      </c>
      <c r="O34">
        <f t="shared" si="4"/>
        <v>0</v>
      </c>
      <c r="P34">
        <v>70</v>
      </c>
      <c r="Q34" s="437">
        <f t="shared" si="5"/>
        <v>560</v>
      </c>
      <c r="R34">
        <v>65</v>
      </c>
      <c r="S34">
        <f t="shared" si="6"/>
        <v>585</v>
      </c>
      <c r="T34">
        <f t="shared" si="11"/>
        <v>6</v>
      </c>
      <c r="U34">
        <f t="shared" si="14"/>
        <v>0</v>
      </c>
      <c r="V34">
        <f t="shared" si="15"/>
        <v>1.65</v>
      </c>
      <c r="W34">
        <f t="shared" si="12"/>
        <v>1947</v>
      </c>
      <c r="AF34" t="str">
        <f t="shared" si="7"/>
        <v>TUNGAMAH</v>
      </c>
      <c r="AG34">
        <f>+AB94-B94</f>
        <v>10890.45</v>
      </c>
      <c r="AH34" s="387">
        <f t="shared" si="16"/>
        <v>14820</v>
      </c>
    </row>
    <row r="35" spans="1:34">
      <c r="A35" s="438" t="s">
        <v>254</v>
      </c>
      <c r="B35">
        <v>78</v>
      </c>
      <c r="C35">
        <f t="shared" si="17"/>
        <v>3.3</v>
      </c>
      <c r="D35">
        <v>80</v>
      </c>
      <c r="E35" s="436">
        <f t="shared" si="13"/>
        <v>257.39999999999998</v>
      </c>
      <c r="F35">
        <f t="shared" si="8"/>
        <v>257.39999999999998</v>
      </c>
      <c r="G35" s="436">
        <f t="shared" si="0"/>
        <v>1544.3999999999999</v>
      </c>
      <c r="H35" s="436">
        <f t="shared" si="9"/>
        <v>257.39999999999998</v>
      </c>
      <c r="I35">
        <v>65</v>
      </c>
      <c r="J35">
        <f t="shared" si="1"/>
        <v>2275</v>
      </c>
      <c r="K35" s="534">
        <v>220</v>
      </c>
      <c r="L35">
        <f t="shared" si="2"/>
        <v>13200</v>
      </c>
      <c r="M35">
        <f t="shared" si="10"/>
        <v>4</v>
      </c>
      <c r="N35">
        <f t="shared" si="3"/>
        <v>-2</v>
      </c>
      <c r="O35">
        <f t="shared" si="4"/>
        <v>0</v>
      </c>
      <c r="P35">
        <v>65</v>
      </c>
      <c r="Q35" s="437">
        <f t="shared" si="5"/>
        <v>520</v>
      </c>
      <c r="R35">
        <v>54</v>
      </c>
      <c r="S35">
        <f t="shared" si="6"/>
        <v>486</v>
      </c>
      <c r="T35">
        <f t="shared" si="11"/>
        <v>6</v>
      </c>
      <c r="U35">
        <f t="shared" si="14"/>
        <v>0</v>
      </c>
      <c r="V35">
        <f t="shared" si="15"/>
        <v>1.65</v>
      </c>
      <c r="W35">
        <f t="shared" si="12"/>
        <v>2574</v>
      </c>
      <c r="AF35" t="str">
        <f t="shared" si="7"/>
        <v>YARRAWONGA</v>
      </c>
      <c r="AG35">
        <f>+AC94-B94</f>
        <v>11218.150000000001</v>
      </c>
      <c r="AH35" s="387">
        <f t="shared" si="16"/>
        <v>15260</v>
      </c>
    </row>
    <row r="36" spans="1:34">
      <c r="A36" t="s">
        <v>255</v>
      </c>
      <c r="B36">
        <v>119</v>
      </c>
      <c r="C36">
        <f>+C35</f>
        <v>3.3</v>
      </c>
      <c r="D36" s="304">
        <f>+D22</f>
        <v>150</v>
      </c>
      <c r="E36" s="436">
        <f t="shared" si="13"/>
        <v>392.7</v>
      </c>
      <c r="F36">
        <f t="shared" si="8"/>
        <v>392.7</v>
      </c>
      <c r="G36" s="436">
        <f>(+VALUE(B36))*1.65</f>
        <v>196.35</v>
      </c>
      <c r="H36" s="436">
        <f t="shared" si="9"/>
        <v>392.7</v>
      </c>
      <c r="I36">
        <v>85</v>
      </c>
      <c r="J36">
        <f t="shared" si="1"/>
        <v>2975</v>
      </c>
      <c r="K36" s="534">
        <v>295</v>
      </c>
      <c r="L36">
        <f t="shared" si="2"/>
        <v>17700</v>
      </c>
      <c r="M36">
        <f t="shared" si="10"/>
        <v>4</v>
      </c>
      <c r="N36">
        <f t="shared" si="3"/>
        <v>39</v>
      </c>
      <c r="O36">
        <f t="shared" si="4"/>
        <v>312</v>
      </c>
      <c r="P36">
        <v>80</v>
      </c>
      <c r="Q36" s="437">
        <f t="shared" si="5"/>
        <v>640</v>
      </c>
      <c r="R36">
        <v>80</v>
      </c>
      <c r="S36">
        <f t="shared" si="6"/>
        <v>720</v>
      </c>
      <c r="T36">
        <f t="shared" si="11"/>
        <v>6</v>
      </c>
      <c r="U36">
        <f t="shared" si="14"/>
        <v>234</v>
      </c>
      <c r="V36">
        <f t="shared" si="15"/>
        <v>1.65</v>
      </c>
      <c r="W36">
        <f t="shared" si="12"/>
        <v>3927</v>
      </c>
      <c r="AF36" t="str">
        <f t="shared" si="7"/>
        <v>YEA</v>
      </c>
      <c r="AG36">
        <f>+AD94-B94</f>
        <v>28069.599999999999</v>
      </c>
      <c r="AH36" s="387">
        <f t="shared" si="16"/>
        <v>38180</v>
      </c>
    </row>
    <row r="38" spans="1:34">
      <c r="A38" s="439"/>
      <c r="B38" s="439">
        <v>3630</v>
      </c>
      <c r="C38" s="440">
        <v>3714</v>
      </c>
      <c r="D38" s="440">
        <v>3664</v>
      </c>
      <c r="E38" s="440">
        <v>3671</v>
      </c>
      <c r="F38" s="440">
        <v>3644</v>
      </c>
      <c r="G38" s="440">
        <v>3568</v>
      </c>
      <c r="H38" s="440">
        <v>2710</v>
      </c>
      <c r="I38" s="441">
        <v>3564</v>
      </c>
      <c r="J38" s="440">
        <v>3666</v>
      </c>
      <c r="K38" s="536">
        <v>2713</v>
      </c>
      <c r="L38" s="440">
        <v>3634</v>
      </c>
      <c r="M38" s="440">
        <v>3580</v>
      </c>
      <c r="N38" s="440">
        <v>3620</v>
      </c>
      <c r="O38" s="440">
        <v>3722</v>
      </c>
      <c r="P38" s="440">
        <v>2710</v>
      </c>
      <c r="Q38" s="440">
        <v>3610</v>
      </c>
      <c r="R38" s="440">
        <v>3608</v>
      </c>
      <c r="S38" s="440">
        <v>3638</v>
      </c>
      <c r="T38" s="440">
        <v>3636</v>
      </c>
      <c r="U38" s="440">
        <v>3561</v>
      </c>
      <c r="V38" s="439">
        <v>3612</v>
      </c>
      <c r="W38" s="440">
        <v>3660</v>
      </c>
      <c r="X38" s="440">
        <v>3623</v>
      </c>
      <c r="Y38" s="440">
        <v>3641</v>
      </c>
      <c r="Z38" s="440">
        <v>3616</v>
      </c>
      <c r="AA38" s="440">
        <v>3621</v>
      </c>
      <c r="AB38" s="440">
        <v>3728</v>
      </c>
      <c r="AC38" s="441">
        <v>3730</v>
      </c>
      <c r="AD38" s="440">
        <v>3717</v>
      </c>
    </row>
    <row r="39" spans="1:34" s="446" customFormat="1" ht="81.75">
      <c r="A39" s="442"/>
      <c r="B39" s="442" t="s">
        <v>174</v>
      </c>
      <c r="C39" s="443" t="s">
        <v>223</v>
      </c>
      <c r="D39" s="443" t="s">
        <v>224</v>
      </c>
      <c r="E39" s="443" t="s">
        <v>226</v>
      </c>
      <c r="F39" s="443" t="s">
        <v>227</v>
      </c>
      <c r="G39" s="443" t="s">
        <v>228</v>
      </c>
      <c r="H39" s="443" t="s">
        <v>229</v>
      </c>
      <c r="I39" s="444" t="s">
        <v>213</v>
      </c>
      <c r="J39" s="443" t="s">
        <v>231</v>
      </c>
      <c r="K39" s="537" t="s">
        <v>232</v>
      </c>
      <c r="L39" s="443" t="s">
        <v>233</v>
      </c>
      <c r="M39" s="443" t="s">
        <v>235</v>
      </c>
      <c r="N39" s="443" t="s">
        <v>237</v>
      </c>
      <c r="O39" s="443" t="s">
        <v>238</v>
      </c>
      <c r="P39" s="443" t="s">
        <v>1022</v>
      </c>
      <c r="Q39" s="443" t="s">
        <v>241</v>
      </c>
      <c r="R39" s="443" t="s">
        <v>242</v>
      </c>
      <c r="S39" s="443" t="s">
        <v>243</v>
      </c>
      <c r="T39" s="443" t="s">
        <v>244</v>
      </c>
      <c r="U39" s="443" t="s">
        <v>245</v>
      </c>
      <c r="V39" s="442" t="s">
        <v>246</v>
      </c>
      <c r="W39" s="443" t="s">
        <v>247</v>
      </c>
      <c r="X39" s="443" t="s">
        <v>249</v>
      </c>
      <c r="Y39" s="443" t="s">
        <v>248</v>
      </c>
      <c r="Z39" s="443" t="s">
        <v>250</v>
      </c>
      <c r="AA39" s="443" t="s">
        <v>252</v>
      </c>
      <c r="AB39" s="443" t="s">
        <v>253</v>
      </c>
      <c r="AC39" s="444" t="s">
        <v>254</v>
      </c>
      <c r="AD39" s="443" t="s">
        <v>255</v>
      </c>
      <c r="AE39" s="445"/>
    </row>
    <row r="40" spans="1:34">
      <c r="A40" s="439" t="s">
        <v>1250</v>
      </c>
      <c r="B40" s="439"/>
      <c r="C40" s="440" t="s">
        <v>1251</v>
      </c>
      <c r="D40" s="440" t="s">
        <v>1252</v>
      </c>
      <c r="E40" s="440" t="s">
        <v>1253</v>
      </c>
      <c r="F40" s="440" t="s">
        <v>1252</v>
      </c>
      <c r="G40" s="440" t="s">
        <v>1254</v>
      </c>
      <c r="H40" s="440" t="s">
        <v>1255</v>
      </c>
      <c r="I40" s="441" t="s">
        <v>1252</v>
      </c>
      <c r="J40" s="441" t="s">
        <v>1256</v>
      </c>
      <c r="K40" s="538" t="s">
        <v>1432</v>
      </c>
      <c r="L40" s="441" t="s">
        <v>1257</v>
      </c>
      <c r="M40" s="441" t="s">
        <v>1258</v>
      </c>
      <c r="N40" s="440" t="s">
        <v>1259</v>
      </c>
      <c r="O40" s="441" t="s">
        <v>1260</v>
      </c>
      <c r="P40" s="441" t="s">
        <v>1261</v>
      </c>
      <c r="Q40" s="440" t="s">
        <v>1262</v>
      </c>
      <c r="R40" s="440" t="s">
        <v>1263</v>
      </c>
      <c r="S40" s="440" t="s">
        <v>1264</v>
      </c>
      <c r="T40" s="440" t="s">
        <v>1265</v>
      </c>
      <c r="U40" s="440" t="s">
        <v>1266</v>
      </c>
      <c r="V40" s="440" t="s">
        <v>1267</v>
      </c>
      <c r="W40" s="440" t="s">
        <v>1268</v>
      </c>
      <c r="X40" s="440" t="s">
        <v>1269</v>
      </c>
      <c r="Y40" s="440" t="s">
        <v>1270</v>
      </c>
      <c r="Z40" s="440" t="s">
        <v>1271</v>
      </c>
      <c r="AA40" s="440" t="s">
        <v>1272</v>
      </c>
      <c r="AB40" s="440" t="s">
        <v>1273</v>
      </c>
      <c r="AC40" s="441" t="s">
        <v>1274</v>
      </c>
      <c r="AD40" s="440" t="s">
        <v>1275</v>
      </c>
      <c r="AE40" s="301"/>
      <c r="AF40" s="301"/>
    </row>
    <row r="41" spans="1:34" ht="30">
      <c r="A41" s="447" t="s">
        <v>1276</v>
      </c>
      <c r="B41">
        <f>+D8*5</f>
        <v>227.25</v>
      </c>
      <c r="C41">
        <f>+D9*5</f>
        <v>750</v>
      </c>
      <c r="D41">
        <f>+D10*5</f>
        <v>550</v>
      </c>
      <c r="E41">
        <f>+D11*5</f>
        <v>350</v>
      </c>
      <c r="F41">
        <f>+D12*5</f>
        <v>350</v>
      </c>
      <c r="G41">
        <f>+D13*5</f>
        <v>750</v>
      </c>
      <c r="H41">
        <f>+D14*5</f>
        <v>750</v>
      </c>
      <c r="I41">
        <f>+D15*5</f>
        <v>400</v>
      </c>
      <c r="J41">
        <f>+D16*5</f>
        <v>450</v>
      </c>
      <c r="K41" s="534">
        <f>+D17*5</f>
        <v>750</v>
      </c>
      <c r="L41">
        <f>+D18*5</f>
        <v>550</v>
      </c>
      <c r="M41">
        <f>+D19*5</f>
        <v>750</v>
      </c>
      <c r="N41">
        <f>+D20*5</f>
        <v>250</v>
      </c>
      <c r="O41">
        <f>+D21*5</f>
        <v>550</v>
      </c>
      <c r="P41">
        <f>+D22*5</f>
        <v>750</v>
      </c>
      <c r="Q41">
        <f>+D23*5</f>
        <v>450</v>
      </c>
      <c r="R41">
        <f>+D24*5</f>
        <v>350</v>
      </c>
      <c r="S41">
        <f>+D25*5</f>
        <v>350</v>
      </c>
      <c r="T41">
        <f>+D26*5</f>
        <v>300</v>
      </c>
      <c r="U41">
        <f>+D27*5</f>
        <v>450</v>
      </c>
      <c r="V41">
        <f>+D28*5</f>
        <v>450</v>
      </c>
      <c r="W41">
        <f>+D29*5</f>
        <v>550</v>
      </c>
      <c r="X41">
        <f>+D30*5</f>
        <v>300</v>
      </c>
      <c r="Y41">
        <f>+D31*5</f>
        <v>350</v>
      </c>
      <c r="Z41">
        <f>+D32*5</f>
        <v>227.25</v>
      </c>
      <c r="AA41">
        <f>+D33*5</f>
        <v>400</v>
      </c>
      <c r="AB41">
        <f>+D34*5</f>
        <v>550</v>
      </c>
      <c r="AC41">
        <f>+D35*5</f>
        <v>400</v>
      </c>
      <c r="AD41">
        <f>+D36*5</f>
        <v>750</v>
      </c>
    </row>
    <row r="42" spans="1:34">
      <c r="A42" s="13" t="s">
        <v>1359</v>
      </c>
      <c r="E42">
        <v>150</v>
      </c>
    </row>
    <row r="43" spans="1:34">
      <c r="A43" t="s">
        <v>1277</v>
      </c>
      <c r="B43" s="436">
        <f>E8</f>
        <v>66</v>
      </c>
      <c r="C43" s="436">
        <f>E9</f>
        <v>396</v>
      </c>
      <c r="D43" s="436">
        <f>E10</f>
        <v>234.29999999999998</v>
      </c>
      <c r="E43" s="436">
        <f>E11</f>
        <v>204.6</v>
      </c>
      <c r="F43" s="436">
        <f>E12</f>
        <v>234.29999999999998</v>
      </c>
      <c r="G43" s="436">
        <f>E13</f>
        <v>445.5</v>
      </c>
      <c r="H43" s="436">
        <f>E14</f>
        <v>452.09999999999997</v>
      </c>
      <c r="I43" s="436">
        <f>E15</f>
        <v>234.29999999999998</v>
      </c>
      <c r="J43" s="436">
        <f>E16</f>
        <v>161.69999999999999</v>
      </c>
      <c r="K43" s="539">
        <f>E17</f>
        <v>333.29999999999995</v>
      </c>
      <c r="L43" s="436">
        <f>E18</f>
        <v>95.699999999999989</v>
      </c>
      <c r="M43" s="436">
        <f>E19</f>
        <v>521.4</v>
      </c>
      <c r="N43" s="436">
        <f>E20</f>
        <v>122.1</v>
      </c>
      <c r="O43" s="436">
        <f>E21</f>
        <v>412.5</v>
      </c>
      <c r="P43" s="436">
        <f>E22</f>
        <v>339.9</v>
      </c>
      <c r="Q43" s="436">
        <f>E23</f>
        <v>141.9</v>
      </c>
      <c r="R43" s="436">
        <f>E24</f>
        <v>198</v>
      </c>
      <c r="S43" s="436">
        <f>E25</f>
        <v>132</v>
      </c>
      <c r="T43" s="436">
        <f>E26</f>
        <v>115.5</v>
      </c>
      <c r="U43" s="436">
        <f>E27</f>
        <v>231</v>
      </c>
      <c r="V43" s="436">
        <f>E28</f>
        <v>158.39999999999998</v>
      </c>
      <c r="W43" s="436">
        <f>E29</f>
        <v>283.8</v>
      </c>
      <c r="X43" s="436">
        <f>E30</f>
        <v>138.6</v>
      </c>
      <c r="Y43" s="436">
        <f>E31</f>
        <v>184.79999999999998</v>
      </c>
      <c r="Z43" s="436">
        <f>E32</f>
        <v>66</v>
      </c>
      <c r="AA43" s="436">
        <f>E33</f>
        <v>188.1</v>
      </c>
      <c r="AB43" s="436">
        <f>E34</f>
        <v>194.7</v>
      </c>
      <c r="AC43" s="436">
        <f>E35</f>
        <v>257.39999999999998</v>
      </c>
      <c r="AD43" s="436">
        <f>E36</f>
        <v>392.7</v>
      </c>
    </row>
    <row r="44" spans="1:34">
      <c r="A44" t="s">
        <v>1278</v>
      </c>
      <c r="B44">
        <v>0</v>
      </c>
      <c r="C44">
        <v>340</v>
      </c>
      <c r="D44">
        <v>220</v>
      </c>
      <c r="E44">
        <v>220</v>
      </c>
      <c r="F44">
        <v>140</v>
      </c>
      <c r="G44">
        <v>220</v>
      </c>
      <c r="H44">
        <v>220</v>
      </c>
      <c r="I44">
        <v>0</v>
      </c>
      <c r="J44">
        <v>220</v>
      </c>
      <c r="K44" s="534">
        <v>220</v>
      </c>
      <c r="L44">
        <v>140</v>
      </c>
      <c r="M44">
        <v>220</v>
      </c>
      <c r="N44">
        <v>115</v>
      </c>
      <c r="O44">
        <v>340</v>
      </c>
      <c r="P44">
        <v>140</v>
      </c>
      <c r="Q44">
        <v>140</v>
      </c>
      <c r="R44">
        <v>220</v>
      </c>
      <c r="S44">
        <v>140</v>
      </c>
      <c r="T44">
        <v>140</v>
      </c>
      <c r="U44">
        <v>220</v>
      </c>
      <c r="V44">
        <v>140</v>
      </c>
      <c r="W44">
        <v>220</v>
      </c>
      <c r="X44">
        <v>140</v>
      </c>
      <c r="Y44">
        <v>220</v>
      </c>
      <c r="Z44">
        <v>140</v>
      </c>
      <c r="AA44">
        <v>220</v>
      </c>
      <c r="AB44">
        <v>220</v>
      </c>
      <c r="AC44">
        <v>0</v>
      </c>
      <c r="AD44">
        <v>340</v>
      </c>
    </row>
    <row r="45" spans="1:34">
      <c r="A45" t="s">
        <v>1347</v>
      </c>
      <c r="O45">
        <v>78</v>
      </c>
    </row>
    <row r="46" spans="1:34">
      <c r="A46" t="s">
        <v>1279</v>
      </c>
      <c r="B46">
        <v>0</v>
      </c>
      <c r="C46">
        <v>400</v>
      </c>
      <c r="D46">
        <v>0</v>
      </c>
      <c r="E46">
        <v>0</v>
      </c>
      <c r="F46">
        <v>0</v>
      </c>
      <c r="G46">
        <v>0</v>
      </c>
      <c r="H46">
        <v>400</v>
      </c>
      <c r="I46">
        <v>0</v>
      </c>
      <c r="J46">
        <v>0</v>
      </c>
      <c r="K46" s="534">
        <v>400</v>
      </c>
      <c r="L46">
        <v>0</v>
      </c>
      <c r="M46">
        <v>400</v>
      </c>
      <c r="N46">
        <v>0</v>
      </c>
      <c r="O46">
        <v>400</v>
      </c>
      <c r="P46">
        <v>0</v>
      </c>
      <c r="Q46">
        <v>0</v>
      </c>
      <c r="R46">
        <v>0</v>
      </c>
      <c r="S46">
        <v>0</v>
      </c>
      <c r="T46">
        <v>0</v>
      </c>
      <c r="U46">
        <v>0</v>
      </c>
      <c r="V46">
        <v>0</v>
      </c>
      <c r="W46">
        <v>0</v>
      </c>
      <c r="X46">
        <v>0</v>
      </c>
      <c r="Y46">
        <v>0</v>
      </c>
      <c r="Z46">
        <v>0</v>
      </c>
      <c r="AA46">
        <v>0</v>
      </c>
      <c r="AB46">
        <v>0</v>
      </c>
      <c r="AC46">
        <v>0</v>
      </c>
      <c r="AD46">
        <v>400</v>
      </c>
    </row>
    <row r="47" spans="1:34">
      <c r="A47" t="s">
        <v>1280</v>
      </c>
      <c r="D47">
        <v>1500</v>
      </c>
      <c r="W47">
        <v>1000</v>
      </c>
    </row>
    <row r="48" spans="1:34">
      <c r="A48" t="s">
        <v>1281</v>
      </c>
      <c r="B48" s="436">
        <f>F8</f>
        <v>66</v>
      </c>
      <c r="C48">
        <f>F9</f>
        <v>396</v>
      </c>
      <c r="D48" s="436">
        <f>+F10</f>
        <v>234.29999999999998</v>
      </c>
      <c r="E48">
        <f>F11</f>
        <v>204.6</v>
      </c>
      <c r="F48" s="436">
        <f>F12</f>
        <v>234.29999999999998</v>
      </c>
      <c r="G48">
        <f>F13</f>
        <v>445.5</v>
      </c>
      <c r="H48" s="436">
        <f>F14</f>
        <v>452.09999999999997</v>
      </c>
      <c r="I48">
        <f>F15</f>
        <v>234.29999999999998</v>
      </c>
      <c r="J48" s="436">
        <f>F16</f>
        <v>161.69999999999999</v>
      </c>
      <c r="K48" s="534">
        <f>F17</f>
        <v>333.29999999999995</v>
      </c>
      <c r="L48" s="436">
        <f>F18</f>
        <v>95.699999999999989</v>
      </c>
      <c r="M48">
        <f>F19</f>
        <v>521.4</v>
      </c>
      <c r="N48" s="436">
        <f>F20</f>
        <v>122.1</v>
      </c>
      <c r="O48">
        <f>F21</f>
        <v>412.5</v>
      </c>
      <c r="P48" s="436">
        <f>F22</f>
        <v>339.9</v>
      </c>
      <c r="Q48">
        <f>F23</f>
        <v>141.9</v>
      </c>
      <c r="R48" s="436">
        <f>F24</f>
        <v>198</v>
      </c>
      <c r="S48">
        <f>F25</f>
        <v>132</v>
      </c>
      <c r="T48" s="436">
        <f>F26</f>
        <v>115.5</v>
      </c>
      <c r="U48">
        <f>F27</f>
        <v>231</v>
      </c>
      <c r="V48" s="436">
        <f>F28</f>
        <v>158.39999999999998</v>
      </c>
      <c r="W48">
        <f>F29</f>
        <v>283.8</v>
      </c>
      <c r="X48" s="436">
        <f>F30</f>
        <v>138.6</v>
      </c>
      <c r="Y48">
        <f>F31</f>
        <v>184.79999999999998</v>
      </c>
      <c r="Z48" s="436">
        <f>F32</f>
        <v>66</v>
      </c>
      <c r="AA48">
        <f>F33</f>
        <v>188.1</v>
      </c>
      <c r="AB48" s="436">
        <f>F34</f>
        <v>194.7</v>
      </c>
      <c r="AC48">
        <f>F35</f>
        <v>257.39999999999998</v>
      </c>
      <c r="AD48" s="436">
        <f>F36</f>
        <v>392.7</v>
      </c>
    </row>
    <row r="49" spans="1:30">
      <c r="A49" t="s">
        <v>1282</v>
      </c>
      <c r="B49">
        <v>0</v>
      </c>
      <c r="C49">
        <v>50</v>
      </c>
      <c r="D49">
        <v>50</v>
      </c>
      <c r="E49">
        <v>50</v>
      </c>
      <c r="F49">
        <v>50</v>
      </c>
      <c r="G49">
        <v>50</v>
      </c>
      <c r="H49">
        <v>50</v>
      </c>
      <c r="I49">
        <v>50</v>
      </c>
      <c r="J49">
        <v>50</v>
      </c>
      <c r="K49" s="534">
        <v>50</v>
      </c>
      <c r="L49">
        <v>0</v>
      </c>
      <c r="M49">
        <v>50</v>
      </c>
      <c r="N49">
        <v>0</v>
      </c>
      <c r="O49">
        <v>50</v>
      </c>
      <c r="P49">
        <v>50</v>
      </c>
      <c r="Q49">
        <v>0</v>
      </c>
      <c r="R49">
        <v>50</v>
      </c>
      <c r="S49">
        <v>0</v>
      </c>
      <c r="T49">
        <v>0</v>
      </c>
      <c r="U49">
        <v>50</v>
      </c>
      <c r="V49">
        <v>50</v>
      </c>
      <c r="W49">
        <v>50</v>
      </c>
      <c r="X49">
        <v>0</v>
      </c>
      <c r="Y49">
        <v>50</v>
      </c>
      <c r="Z49">
        <v>0</v>
      </c>
      <c r="AA49">
        <v>50</v>
      </c>
      <c r="AB49">
        <v>50</v>
      </c>
      <c r="AC49">
        <v>50</v>
      </c>
      <c r="AD49">
        <v>50</v>
      </c>
    </row>
    <row r="50" spans="1:30">
      <c r="A50" t="s">
        <v>1283</v>
      </c>
      <c r="B50">
        <v>0</v>
      </c>
      <c r="C50">
        <v>290</v>
      </c>
      <c r="D50">
        <v>190</v>
      </c>
      <c r="E50">
        <v>190</v>
      </c>
      <c r="F50">
        <v>190</v>
      </c>
      <c r="G50">
        <v>350</v>
      </c>
      <c r="H50">
        <v>350</v>
      </c>
      <c r="I50">
        <v>190</v>
      </c>
      <c r="J50">
        <v>150</v>
      </c>
      <c r="K50" s="534">
        <v>290</v>
      </c>
      <c r="L50">
        <v>150</v>
      </c>
      <c r="M50">
        <v>350</v>
      </c>
      <c r="N50">
        <v>150</v>
      </c>
      <c r="O50">
        <v>270</v>
      </c>
      <c r="P50">
        <v>290</v>
      </c>
      <c r="Q50">
        <v>130</v>
      </c>
      <c r="R50">
        <v>150</v>
      </c>
      <c r="S50">
        <v>150</v>
      </c>
      <c r="T50">
        <v>90</v>
      </c>
      <c r="U50">
        <v>190</v>
      </c>
      <c r="V50">
        <v>150</v>
      </c>
      <c r="W50">
        <v>210</v>
      </c>
      <c r="X50">
        <v>150</v>
      </c>
      <c r="Y50">
        <v>190</v>
      </c>
      <c r="Z50">
        <v>90</v>
      </c>
      <c r="AA50">
        <v>150</v>
      </c>
      <c r="AB50">
        <v>190</v>
      </c>
      <c r="AC50">
        <v>190</v>
      </c>
      <c r="AD50">
        <v>290</v>
      </c>
    </row>
    <row r="51" spans="1:30">
      <c r="A51" t="s">
        <v>1284</v>
      </c>
      <c r="B51" s="436">
        <f>G8</f>
        <v>396</v>
      </c>
      <c r="C51" s="436">
        <f>G9</f>
        <v>2376</v>
      </c>
      <c r="D51" s="436">
        <f>G10</f>
        <v>1405.8</v>
      </c>
      <c r="E51" s="436">
        <f>G11</f>
        <v>1227.5999999999999</v>
      </c>
      <c r="F51" s="436">
        <f>G12</f>
        <v>1405.8</v>
      </c>
      <c r="G51" s="436">
        <f>G13</f>
        <v>2673</v>
      </c>
      <c r="H51" s="436">
        <f>G14</f>
        <v>2712.6</v>
      </c>
      <c r="I51" s="436">
        <f>G15</f>
        <v>1405.8</v>
      </c>
      <c r="J51" s="436">
        <f>G16</f>
        <v>970.19999999999993</v>
      </c>
      <c r="K51" s="539">
        <f>G17</f>
        <v>1999.7999999999997</v>
      </c>
      <c r="L51" s="436">
        <f>G18</f>
        <v>574.19999999999993</v>
      </c>
      <c r="M51" s="436">
        <f>G19</f>
        <v>3128.3999999999996</v>
      </c>
      <c r="N51" s="436">
        <f>G20</f>
        <v>732.59999999999991</v>
      </c>
      <c r="O51" s="436">
        <f>G21</f>
        <v>2475</v>
      </c>
      <c r="P51" s="436">
        <f>G22</f>
        <v>2039.3999999999999</v>
      </c>
      <c r="Q51" s="436">
        <f>G23</f>
        <v>851.40000000000009</v>
      </c>
      <c r="R51" s="436">
        <f>G24</f>
        <v>1188</v>
      </c>
      <c r="S51" s="436">
        <f>G25</f>
        <v>792</v>
      </c>
      <c r="T51" s="436">
        <f>G26</f>
        <v>693</v>
      </c>
      <c r="U51" s="436">
        <f>G27</f>
        <v>1386</v>
      </c>
      <c r="V51" s="436">
        <f>G28</f>
        <v>950.39999999999986</v>
      </c>
      <c r="W51" s="436">
        <f>G29</f>
        <v>1702.8000000000002</v>
      </c>
      <c r="X51" s="436">
        <f>G30</f>
        <v>831.59999999999991</v>
      </c>
      <c r="Y51" s="436">
        <f>G31</f>
        <v>1108.8</v>
      </c>
      <c r="Z51" s="436">
        <f>G32</f>
        <v>396</v>
      </c>
      <c r="AA51" s="436">
        <f>G33</f>
        <v>1128.5999999999999</v>
      </c>
      <c r="AB51" s="436">
        <f>G34</f>
        <v>1168.1999999999998</v>
      </c>
      <c r="AC51" s="436">
        <f>G35</f>
        <v>1544.3999999999999</v>
      </c>
      <c r="AD51" s="436">
        <f>G36</f>
        <v>196.35</v>
      </c>
    </row>
    <row r="52" spans="1:30">
      <c r="A52" t="s">
        <v>1285</v>
      </c>
      <c r="B52">
        <f>+B61</f>
        <v>66</v>
      </c>
      <c r="C52">
        <f t="shared" ref="C52:AD52" si="18">+C61</f>
        <v>396</v>
      </c>
      <c r="D52">
        <f t="shared" si="18"/>
        <v>234.29999999999998</v>
      </c>
      <c r="E52">
        <f t="shared" si="18"/>
        <v>204.6</v>
      </c>
      <c r="F52">
        <f t="shared" si="18"/>
        <v>234.29999999999998</v>
      </c>
      <c r="G52">
        <f t="shared" si="18"/>
        <v>445.5</v>
      </c>
      <c r="H52">
        <f t="shared" si="18"/>
        <v>452.09999999999997</v>
      </c>
      <c r="I52">
        <f t="shared" si="18"/>
        <v>234.29999999999998</v>
      </c>
      <c r="J52">
        <f t="shared" si="18"/>
        <v>161.69999999999999</v>
      </c>
      <c r="K52" s="534">
        <f t="shared" si="18"/>
        <v>333.29999999999995</v>
      </c>
      <c r="L52">
        <f t="shared" si="18"/>
        <v>95.699999999999989</v>
      </c>
      <c r="M52">
        <f t="shared" si="18"/>
        <v>521.4</v>
      </c>
      <c r="N52">
        <f t="shared" si="18"/>
        <v>122.1</v>
      </c>
      <c r="O52">
        <f t="shared" si="18"/>
        <v>412.5</v>
      </c>
      <c r="P52">
        <f t="shared" si="18"/>
        <v>339.9</v>
      </c>
      <c r="Q52">
        <f t="shared" si="18"/>
        <v>141.9</v>
      </c>
      <c r="R52">
        <f t="shared" si="18"/>
        <v>198</v>
      </c>
      <c r="S52">
        <f t="shared" si="18"/>
        <v>132</v>
      </c>
      <c r="T52">
        <f t="shared" si="18"/>
        <v>115.5</v>
      </c>
      <c r="U52">
        <f t="shared" si="18"/>
        <v>231</v>
      </c>
      <c r="V52">
        <f t="shared" si="18"/>
        <v>158.39999999999998</v>
      </c>
      <c r="W52">
        <f t="shared" si="18"/>
        <v>283.8</v>
      </c>
      <c r="X52">
        <f t="shared" si="18"/>
        <v>138.6</v>
      </c>
      <c r="Y52">
        <f t="shared" si="18"/>
        <v>184.79999999999998</v>
      </c>
      <c r="Z52">
        <f t="shared" si="18"/>
        <v>66</v>
      </c>
      <c r="AA52">
        <f t="shared" si="18"/>
        <v>188.1</v>
      </c>
      <c r="AB52">
        <f t="shared" si="18"/>
        <v>194.7</v>
      </c>
      <c r="AC52">
        <f t="shared" si="18"/>
        <v>257.39999999999998</v>
      </c>
      <c r="AD52">
        <f t="shared" si="18"/>
        <v>392.7</v>
      </c>
    </row>
    <row r="53" spans="1:30">
      <c r="A53" t="s">
        <v>1286</v>
      </c>
      <c r="C53">
        <v>700</v>
      </c>
      <c r="D53">
        <v>700</v>
      </c>
      <c r="E53">
        <v>780</v>
      </c>
      <c r="F53">
        <v>700</v>
      </c>
      <c r="G53">
        <v>700</v>
      </c>
      <c r="H53">
        <v>700</v>
      </c>
      <c r="I53">
        <v>0</v>
      </c>
      <c r="J53">
        <v>700</v>
      </c>
      <c r="K53" s="534">
        <v>700</v>
      </c>
      <c r="L53">
        <v>700</v>
      </c>
      <c r="M53">
        <v>700</v>
      </c>
      <c r="N53">
        <v>700</v>
      </c>
      <c r="O53">
        <v>700</v>
      </c>
      <c r="P53">
        <v>700</v>
      </c>
      <c r="Q53">
        <v>700</v>
      </c>
      <c r="R53">
        <v>700</v>
      </c>
      <c r="S53">
        <v>700</v>
      </c>
      <c r="T53">
        <v>700</v>
      </c>
      <c r="U53">
        <v>700</v>
      </c>
      <c r="V53">
        <v>700</v>
      </c>
      <c r="W53">
        <v>700</v>
      </c>
      <c r="X53">
        <v>700</v>
      </c>
      <c r="Y53">
        <v>700</v>
      </c>
      <c r="Z53">
        <v>700</v>
      </c>
      <c r="AA53">
        <v>700</v>
      </c>
      <c r="AB53">
        <v>700</v>
      </c>
      <c r="AC53">
        <v>760</v>
      </c>
      <c r="AD53">
        <v>700</v>
      </c>
    </row>
    <row r="54" spans="1:30">
      <c r="A54" t="s">
        <v>1287</v>
      </c>
    </row>
    <row r="55" spans="1:30">
      <c r="A55" t="s">
        <v>1440</v>
      </c>
      <c r="C55" s="304"/>
      <c r="D55" s="304"/>
      <c r="E55" s="304"/>
      <c r="F55" s="304"/>
      <c r="G55" s="304"/>
      <c r="H55" s="304"/>
      <c r="J55" s="304"/>
      <c r="K55" s="304"/>
      <c r="L55" s="304"/>
      <c r="M55" s="304"/>
      <c r="N55" s="304"/>
      <c r="O55" s="304"/>
      <c r="P55" s="304"/>
      <c r="Q55" s="304"/>
      <c r="R55" s="304"/>
      <c r="S55" s="304"/>
      <c r="T55" s="304"/>
      <c r="U55" s="304"/>
      <c r="V55" s="304"/>
      <c r="W55" s="304"/>
      <c r="X55" s="304"/>
      <c r="Y55" s="304"/>
      <c r="AA55" s="304"/>
      <c r="AB55" s="304"/>
      <c r="AC55" s="304"/>
      <c r="AD55" s="304"/>
    </row>
    <row r="56" spans="1:30">
      <c r="A56" t="s">
        <v>1288</v>
      </c>
      <c r="B56">
        <v>870</v>
      </c>
      <c r="C56">
        <v>800</v>
      </c>
      <c r="D56">
        <v>670</v>
      </c>
      <c r="E56">
        <v>1030</v>
      </c>
      <c r="F56">
        <v>1270</v>
      </c>
      <c r="G56">
        <v>1500</v>
      </c>
      <c r="H56">
        <v>1500</v>
      </c>
      <c r="I56">
        <v>1070</v>
      </c>
      <c r="J56">
        <v>770</v>
      </c>
      <c r="K56" s="534">
        <v>1500</v>
      </c>
      <c r="L56">
        <v>1200</v>
      </c>
      <c r="M56">
        <v>1500</v>
      </c>
      <c r="N56">
        <v>1030</v>
      </c>
      <c r="O56">
        <v>1030</v>
      </c>
      <c r="P56">
        <v>1500</v>
      </c>
      <c r="Q56">
        <v>780</v>
      </c>
      <c r="R56">
        <v>680</v>
      </c>
      <c r="S56">
        <v>1140</v>
      </c>
      <c r="T56">
        <v>1120</v>
      </c>
      <c r="U56">
        <v>1000</v>
      </c>
      <c r="V56">
        <v>750</v>
      </c>
      <c r="W56">
        <v>600</v>
      </c>
      <c r="X56">
        <v>950</v>
      </c>
      <c r="Y56">
        <v>1230</v>
      </c>
      <c r="Z56">
        <v>880</v>
      </c>
      <c r="AA56">
        <v>1050</v>
      </c>
      <c r="AB56">
        <v>1400</v>
      </c>
      <c r="AC56">
        <v>1400</v>
      </c>
      <c r="AD56">
        <v>650</v>
      </c>
    </row>
    <row r="57" spans="1:30">
      <c r="A57" t="s">
        <v>1289</v>
      </c>
      <c r="B57">
        <f>+J8</f>
        <v>1785</v>
      </c>
      <c r="C57">
        <f>+J9</f>
        <v>2975</v>
      </c>
      <c r="D57">
        <f>+J10</f>
        <v>2275</v>
      </c>
      <c r="E57">
        <f>+J11</f>
        <v>2275</v>
      </c>
      <c r="F57">
        <f>+J12</f>
        <v>2275</v>
      </c>
      <c r="G57">
        <f>+J13</f>
        <v>2975</v>
      </c>
      <c r="H57">
        <f>+J14</f>
        <v>2975</v>
      </c>
      <c r="I57">
        <f>+J15</f>
        <v>2205</v>
      </c>
      <c r="J57">
        <f>+J16</f>
        <v>2205</v>
      </c>
      <c r="K57" s="534">
        <f>+J17</f>
        <v>2975</v>
      </c>
      <c r="L57">
        <f>+J18</f>
        <v>2275</v>
      </c>
      <c r="M57">
        <f>+J19</f>
        <v>2975</v>
      </c>
      <c r="N57">
        <f>+J20</f>
        <v>2205</v>
      </c>
      <c r="O57">
        <f>+J21</f>
        <v>2975</v>
      </c>
      <c r="P57">
        <f>+J22</f>
        <v>2975</v>
      </c>
      <c r="Q57">
        <f>+J23</f>
        <v>2275</v>
      </c>
      <c r="R57">
        <f>+J24</f>
        <v>2275</v>
      </c>
      <c r="S57">
        <f>+J25</f>
        <v>2205</v>
      </c>
      <c r="T57">
        <f>+J26</f>
        <v>1785</v>
      </c>
      <c r="U57">
        <f>+J27</f>
        <v>2275</v>
      </c>
      <c r="V57">
        <f>+J28</f>
        <v>2275</v>
      </c>
      <c r="W57">
        <f>+J29</f>
        <v>2275</v>
      </c>
      <c r="X57">
        <f>+J30</f>
        <v>2205</v>
      </c>
      <c r="Y57">
        <f>+J31</f>
        <v>2275</v>
      </c>
      <c r="Z57">
        <f>+J32</f>
        <v>1785</v>
      </c>
      <c r="AA57">
        <f>+J33</f>
        <v>2275</v>
      </c>
      <c r="AB57">
        <f>+J34</f>
        <v>2275</v>
      </c>
      <c r="AC57">
        <f>+J35</f>
        <v>2275</v>
      </c>
      <c r="AD57">
        <f>+J36</f>
        <v>2975</v>
      </c>
    </row>
    <row r="58" spans="1:30">
      <c r="A58" t="s">
        <v>1290</v>
      </c>
      <c r="C58">
        <v>1800</v>
      </c>
      <c r="D58">
        <v>350</v>
      </c>
      <c r="E58">
        <v>350</v>
      </c>
      <c r="F58">
        <v>350</v>
      </c>
      <c r="G58">
        <v>1800</v>
      </c>
      <c r="H58">
        <v>1800</v>
      </c>
      <c r="I58">
        <v>350</v>
      </c>
      <c r="K58" s="534">
        <v>350</v>
      </c>
      <c r="M58">
        <v>1800</v>
      </c>
      <c r="O58">
        <v>1800</v>
      </c>
      <c r="P58">
        <v>1800</v>
      </c>
      <c r="U58">
        <v>350</v>
      </c>
      <c r="W58">
        <v>350</v>
      </c>
      <c r="AB58">
        <v>350</v>
      </c>
      <c r="AC58">
        <v>350</v>
      </c>
      <c r="AD58">
        <v>1800</v>
      </c>
    </row>
    <row r="59" spans="1:30">
      <c r="A59" t="s">
        <v>1291</v>
      </c>
      <c r="C59">
        <v>650</v>
      </c>
      <c r="D59">
        <v>650</v>
      </c>
      <c r="G59">
        <v>650</v>
      </c>
      <c r="H59">
        <v>650</v>
      </c>
      <c r="I59">
        <v>850</v>
      </c>
      <c r="K59" s="534">
        <v>650</v>
      </c>
      <c r="M59">
        <v>650</v>
      </c>
      <c r="O59">
        <v>650</v>
      </c>
      <c r="P59">
        <v>650</v>
      </c>
      <c r="AD59">
        <v>1000</v>
      </c>
    </row>
    <row r="60" spans="1:30">
      <c r="A60" t="s">
        <v>1292</v>
      </c>
      <c r="C60">
        <v>2000</v>
      </c>
      <c r="G60">
        <v>2000</v>
      </c>
      <c r="H60">
        <v>2000</v>
      </c>
      <c r="K60" s="534">
        <v>2000</v>
      </c>
      <c r="M60">
        <v>2000</v>
      </c>
      <c r="O60">
        <v>2000</v>
      </c>
      <c r="P60">
        <v>2000</v>
      </c>
      <c r="AD60">
        <v>2000</v>
      </c>
    </row>
    <row r="61" spans="1:30">
      <c r="A61" t="s">
        <v>1293</v>
      </c>
      <c r="B61">
        <f>+H8</f>
        <v>66</v>
      </c>
      <c r="C61" s="436">
        <f>+H9</f>
        <v>396</v>
      </c>
      <c r="D61" s="436">
        <f>+H10</f>
        <v>234.29999999999998</v>
      </c>
      <c r="E61" s="436">
        <f>+H11</f>
        <v>204.6</v>
      </c>
      <c r="F61" s="436">
        <f>+H12</f>
        <v>234.29999999999998</v>
      </c>
      <c r="G61" s="436">
        <f>+H13</f>
        <v>445.5</v>
      </c>
      <c r="H61" s="436">
        <f>+H14</f>
        <v>452.09999999999997</v>
      </c>
      <c r="I61" s="436">
        <f>+H15</f>
        <v>234.29999999999998</v>
      </c>
      <c r="J61" s="436">
        <f>+H16</f>
        <v>161.69999999999999</v>
      </c>
      <c r="K61" s="539">
        <f>+H17</f>
        <v>333.29999999999995</v>
      </c>
      <c r="L61" s="436">
        <f>+H18</f>
        <v>95.699999999999989</v>
      </c>
      <c r="M61" s="436">
        <f>+H19</f>
        <v>521.4</v>
      </c>
      <c r="N61" s="436">
        <f>+H20</f>
        <v>122.1</v>
      </c>
      <c r="O61" s="436">
        <f>+H21</f>
        <v>412.5</v>
      </c>
      <c r="P61" s="436">
        <f>+H22</f>
        <v>339.9</v>
      </c>
      <c r="Q61" s="436">
        <f>+H23</f>
        <v>141.9</v>
      </c>
      <c r="R61" s="436">
        <f>+H24</f>
        <v>198</v>
      </c>
      <c r="S61" s="436">
        <f>+H25</f>
        <v>132</v>
      </c>
      <c r="T61" s="436">
        <f>+H26</f>
        <v>115.5</v>
      </c>
      <c r="U61" s="436">
        <f>+H27</f>
        <v>231</v>
      </c>
      <c r="V61" s="436">
        <f>+H28</f>
        <v>158.39999999999998</v>
      </c>
      <c r="W61" s="436">
        <f>+H29</f>
        <v>283.8</v>
      </c>
      <c r="X61" s="436">
        <f>+H30</f>
        <v>138.6</v>
      </c>
      <c r="Y61" s="436">
        <f>+H31</f>
        <v>184.79999999999998</v>
      </c>
      <c r="Z61" s="436">
        <f>+H32</f>
        <v>66</v>
      </c>
      <c r="AA61" s="436">
        <f>+H33</f>
        <v>188.1</v>
      </c>
      <c r="AB61" s="436">
        <f>+H34</f>
        <v>194.7</v>
      </c>
      <c r="AC61" s="436">
        <f>+H35</f>
        <v>257.39999999999998</v>
      </c>
      <c r="AD61" s="436">
        <f>+H36</f>
        <v>392.7</v>
      </c>
    </row>
    <row r="62" spans="1:30">
      <c r="A62" t="s">
        <v>1294</v>
      </c>
      <c r="B62">
        <f>+L8</f>
        <v>12600</v>
      </c>
      <c r="C62">
        <f>+L9</f>
        <v>17220</v>
      </c>
      <c r="D62">
        <f>+L10</f>
        <v>12600</v>
      </c>
      <c r="E62">
        <f>+L11</f>
        <v>14100</v>
      </c>
      <c r="F62">
        <f>+L12</f>
        <v>13200</v>
      </c>
      <c r="G62">
        <f>+L13</f>
        <v>20700</v>
      </c>
      <c r="H62">
        <f>+L14</f>
        <v>21480</v>
      </c>
      <c r="I62">
        <f>+L15</f>
        <v>13800</v>
      </c>
      <c r="J62">
        <f>+L16</f>
        <v>15420</v>
      </c>
      <c r="K62" s="534">
        <f>+L17</f>
        <v>14820</v>
      </c>
      <c r="L62">
        <f>+L17</f>
        <v>14820</v>
      </c>
      <c r="M62">
        <f>+L19</f>
        <v>20700</v>
      </c>
      <c r="N62">
        <f>+L20</f>
        <v>13800</v>
      </c>
      <c r="O62">
        <f>+L21</f>
        <v>16740</v>
      </c>
      <c r="P62">
        <f>+L22</f>
        <v>21480</v>
      </c>
      <c r="Q62">
        <f>+L23</f>
        <v>13080</v>
      </c>
      <c r="R62">
        <f>+L24</f>
        <v>12600</v>
      </c>
      <c r="S62">
        <f>+L25</f>
        <v>13920</v>
      </c>
      <c r="T62">
        <f>+L26</f>
        <v>13200</v>
      </c>
      <c r="U62">
        <f>+L27</f>
        <v>15360</v>
      </c>
      <c r="V62">
        <f>+L28</f>
        <v>14520</v>
      </c>
      <c r="W62">
        <f>+L29</f>
        <v>13200</v>
      </c>
      <c r="X62">
        <f>+L30</f>
        <v>13920</v>
      </c>
      <c r="Y62">
        <f>+L31</f>
        <v>12960</v>
      </c>
      <c r="Z62">
        <f>+L32</f>
        <v>12600</v>
      </c>
      <c r="AA62">
        <f>+L33</f>
        <v>13800</v>
      </c>
      <c r="AB62">
        <f>+L34</f>
        <v>14400</v>
      </c>
      <c r="AC62">
        <f>+L35</f>
        <v>13200</v>
      </c>
      <c r="AD62">
        <f>+L36</f>
        <v>17700</v>
      </c>
    </row>
    <row r="63" spans="1:30">
      <c r="A63" t="s">
        <v>1295</v>
      </c>
      <c r="B63">
        <f>+O8</f>
        <v>0</v>
      </c>
      <c r="C63">
        <f>+O9</f>
        <v>320</v>
      </c>
      <c r="D63">
        <f>+O10</f>
        <v>0</v>
      </c>
      <c r="E63">
        <f>+O11</f>
        <v>0</v>
      </c>
      <c r="F63">
        <f>+O12</f>
        <v>0</v>
      </c>
      <c r="G63">
        <f>+O13</f>
        <v>440</v>
      </c>
      <c r="H63">
        <f>+O14</f>
        <v>456</v>
      </c>
      <c r="I63">
        <f>+O15</f>
        <v>0</v>
      </c>
      <c r="J63">
        <f>+O16</f>
        <v>0</v>
      </c>
      <c r="K63" s="534">
        <f>+O17</f>
        <v>168</v>
      </c>
      <c r="L63">
        <f>+O18</f>
        <v>0</v>
      </c>
      <c r="M63">
        <f>+O19</f>
        <v>624</v>
      </c>
      <c r="N63">
        <f>+O20</f>
        <v>0</v>
      </c>
      <c r="O63">
        <f>+O21</f>
        <v>360</v>
      </c>
      <c r="P63">
        <f>+O22</f>
        <v>184</v>
      </c>
      <c r="Q63">
        <f>+O23</f>
        <v>0</v>
      </c>
      <c r="R63">
        <f>+O24</f>
        <v>0</v>
      </c>
      <c r="S63">
        <f>+O25</f>
        <v>0</v>
      </c>
      <c r="T63">
        <f>+O26</f>
        <v>0</v>
      </c>
      <c r="U63">
        <f>+O27</f>
        <v>0</v>
      </c>
      <c r="V63">
        <f>+O28</f>
        <v>0</v>
      </c>
      <c r="W63">
        <f>+O29</f>
        <v>48</v>
      </c>
      <c r="X63">
        <f>+O30</f>
        <v>0</v>
      </c>
      <c r="Y63">
        <f>+O31</f>
        <v>0</v>
      </c>
      <c r="Z63">
        <f>+O32</f>
        <v>0</v>
      </c>
      <c r="AA63">
        <f>+O33</f>
        <v>0</v>
      </c>
      <c r="AB63">
        <f>+O34</f>
        <v>0</v>
      </c>
      <c r="AC63">
        <f>+O35</f>
        <v>0</v>
      </c>
      <c r="AD63">
        <f>+O36</f>
        <v>312</v>
      </c>
    </row>
    <row r="64" spans="1:30">
      <c r="A64" t="s">
        <v>1296</v>
      </c>
      <c r="B64">
        <v>710</v>
      </c>
      <c r="C64">
        <v>1030</v>
      </c>
      <c r="D64">
        <v>720</v>
      </c>
      <c r="E64">
        <v>1020</v>
      </c>
      <c r="F64">
        <v>1150</v>
      </c>
      <c r="G64">
        <v>730</v>
      </c>
      <c r="H64">
        <v>990</v>
      </c>
      <c r="I64">
        <v>710</v>
      </c>
      <c r="J64">
        <v>800</v>
      </c>
      <c r="K64" s="534">
        <v>1330</v>
      </c>
      <c r="L64">
        <v>880</v>
      </c>
      <c r="M64">
        <v>930</v>
      </c>
      <c r="N64">
        <v>620</v>
      </c>
      <c r="O64">
        <v>1230</v>
      </c>
      <c r="Q64">
        <v>620</v>
      </c>
      <c r="R64">
        <v>620</v>
      </c>
      <c r="S64">
        <v>820</v>
      </c>
      <c r="T64">
        <v>930</v>
      </c>
      <c r="U64">
        <v>520</v>
      </c>
      <c r="V64">
        <v>520</v>
      </c>
      <c r="W64">
        <v>620</v>
      </c>
      <c r="X64">
        <v>620</v>
      </c>
      <c r="Y64">
        <v>1050</v>
      </c>
      <c r="Z64">
        <v>620</v>
      </c>
      <c r="AA64">
        <v>620</v>
      </c>
      <c r="AB64">
        <v>1070</v>
      </c>
      <c r="AC64">
        <v>1200</v>
      </c>
      <c r="AD64">
        <v>840</v>
      </c>
    </row>
    <row r="65" spans="1:30">
      <c r="A65" t="s">
        <v>1297</v>
      </c>
      <c r="C65">
        <v>800</v>
      </c>
      <c r="G65">
        <v>400</v>
      </c>
      <c r="H65">
        <v>400</v>
      </c>
      <c r="K65" s="534">
        <v>400</v>
      </c>
      <c r="M65">
        <v>400</v>
      </c>
      <c r="O65">
        <v>400</v>
      </c>
      <c r="P65">
        <v>400</v>
      </c>
      <c r="Q65">
        <v>400</v>
      </c>
      <c r="AC65">
        <v>400</v>
      </c>
      <c r="AD65">
        <v>800</v>
      </c>
    </row>
    <row r="66" spans="1:30">
      <c r="A66" t="s">
        <v>1298</v>
      </c>
      <c r="C66">
        <v>2000</v>
      </c>
      <c r="G66">
        <v>2000</v>
      </c>
      <c r="H66">
        <v>2000</v>
      </c>
      <c r="K66" s="534">
        <v>2000</v>
      </c>
      <c r="M66">
        <v>2000</v>
      </c>
      <c r="O66">
        <v>2000</v>
      </c>
      <c r="P66">
        <v>2000</v>
      </c>
      <c r="AD66">
        <v>2000</v>
      </c>
    </row>
    <row r="67" spans="1:30">
      <c r="A67" t="s">
        <v>1299</v>
      </c>
      <c r="C67">
        <v>1125</v>
      </c>
      <c r="D67">
        <v>650</v>
      </c>
      <c r="E67">
        <v>650</v>
      </c>
      <c r="F67">
        <v>650</v>
      </c>
      <c r="G67">
        <v>1125</v>
      </c>
      <c r="H67">
        <v>1125</v>
      </c>
      <c r="I67">
        <v>650</v>
      </c>
      <c r="J67">
        <v>650</v>
      </c>
      <c r="K67" s="534">
        <v>890</v>
      </c>
      <c r="M67">
        <v>1125</v>
      </c>
      <c r="O67">
        <v>1125</v>
      </c>
      <c r="P67">
        <v>890</v>
      </c>
      <c r="Q67">
        <v>650</v>
      </c>
      <c r="R67">
        <v>650</v>
      </c>
      <c r="S67">
        <v>650</v>
      </c>
      <c r="U67">
        <v>650</v>
      </c>
      <c r="V67">
        <v>650</v>
      </c>
      <c r="W67">
        <v>890</v>
      </c>
      <c r="X67">
        <v>650</v>
      </c>
      <c r="Y67">
        <v>650</v>
      </c>
      <c r="AA67">
        <v>650</v>
      </c>
      <c r="AB67">
        <v>650</v>
      </c>
      <c r="AC67">
        <v>650</v>
      </c>
      <c r="AD67">
        <v>1125</v>
      </c>
    </row>
    <row r="68" spans="1:30">
      <c r="A68" t="s">
        <v>1300</v>
      </c>
      <c r="C68">
        <v>400</v>
      </c>
      <c r="G68">
        <v>400</v>
      </c>
      <c r="H68">
        <v>400</v>
      </c>
      <c r="I68">
        <v>400</v>
      </c>
      <c r="K68" s="534">
        <v>400</v>
      </c>
      <c r="M68">
        <v>400</v>
      </c>
      <c r="O68">
        <v>400</v>
      </c>
      <c r="P68">
        <v>400</v>
      </c>
      <c r="AD68">
        <v>400</v>
      </c>
    </row>
    <row r="69" spans="1:30">
      <c r="A69" t="s">
        <v>1301</v>
      </c>
      <c r="C69">
        <v>300</v>
      </c>
      <c r="G69">
        <v>300</v>
      </c>
      <c r="H69">
        <v>300</v>
      </c>
      <c r="I69">
        <v>300</v>
      </c>
      <c r="K69" s="534">
        <v>300</v>
      </c>
      <c r="M69">
        <v>300</v>
      </c>
      <c r="O69">
        <v>300</v>
      </c>
      <c r="P69">
        <v>300</v>
      </c>
      <c r="AD69">
        <v>300</v>
      </c>
    </row>
    <row r="70" spans="1:30">
      <c r="A70" t="s">
        <v>1302</v>
      </c>
      <c r="B70">
        <v>0</v>
      </c>
      <c r="C70">
        <v>200</v>
      </c>
      <c r="D70">
        <v>80</v>
      </c>
      <c r="E70">
        <v>80</v>
      </c>
      <c r="F70">
        <v>80</v>
      </c>
      <c r="G70">
        <v>200</v>
      </c>
      <c r="H70">
        <v>200</v>
      </c>
      <c r="I70">
        <v>80</v>
      </c>
      <c r="J70">
        <v>50</v>
      </c>
      <c r="K70" s="534">
        <v>80</v>
      </c>
      <c r="M70">
        <v>200</v>
      </c>
      <c r="N70">
        <v>50</v>
      </c>
      <c r="O70">
        <v>200</v>
      </c>
      <c r="P70">
        <v>200</v>
      </c>
      <c r="Q70">
        <v>50</v>
      </c>
      <c r="R70">
        <v>80</v>
      </c>
      <c r="S70">
        <v>50</v>
      </c>
      <c r="T70">
        <v>50</v>
      </c>
      <c r="U70">
        <v>80</v>
      </c>
      <c r="V70">
        <v>50</v>
      </c>
      <c r="W70">
        <v>80</v>
      </c>
      <c r="X70">
        <v>50</v>
      </c>
      <c r="Y70">
        <v>50</v>
      </c>
      <c r="AA70">
        <v>50</v>
      </c>
      <c r="AB70">
        <v>50</v>
      </c>
      <c r="AC70">
        <v>80</v>
      </c>
      <c r="AD70">
        <v>200</v>
      </c>
    </row>
    <row r="71" spans="1:30">
      <c r="A71" t="s">
        <v>1303</v>
      </c>
      <c r="B71">
        <f>+Q8</f>
        <v>440</v>
      </c>
      <c r="C71">
        <f>+Q9</f>
        <v>520</v>
      </c>
      <c r="D71">
        <f>+Q10</f>
        <v>440</v>
      </c>
      <c r="E71">
        <f>+Q11</f>
        <v>440</v>
      </c>
      <c r="F71">
        <f>+Q12</f>
        <v>560</v>
      </c>
      <c r="G71">
        <f>+Q13</f>
        <v>640</v>
      </c>
      <c r="H71">
        <f>+Q14</f>
        <v>640</v>
      </c>
      <c r="I71">
        <f>+Q15</f>
        <v>480</v>
      </c>
      <c r="J71">
        <f>+Q16</f>
        <v>440</v>
      </c>
      <c r="K71" s="534">
        <f>+Q17</f>
        <v>640</v>
      </c>
      <c r="L71">
        <f>+Q18</f>
        <v>520</v>
      </c>
      <c r="M71">
        <f>+Q19</f>
        <v>640</v>
      </c>
      <c r="N71">
        <f>+Q20</f>
        <v>600</v>
      </c>
      <c r="O71">
        <f>+Q21</f>
        <v>560</v>
      </c>
      <c r="P71">
        <f>+Q22</f>
        <v>640</v>
      </c>
      <c r="Q71">
        <f>+Q23</f>
        <v>440</v>
      </c>
      <c r="R71">
        <f>+Q24</f>
        <v>400</v>
      </c>
      <c r="S71">
        <f>+Q25</f>
        <v>520</v>
      </c>
      <c r="T71">
        <f>+Q26</f>
        <v>440</v>
      </c>
      <c r="U71">
        <f>+Q27</f>
        <v>600</v>
      </c>
      <c r="V71">
        <f>+Q28</f>
        <v>640</v>
      </c>
      <c r="W71">
        <f>+Q29</f>
        <v>440</v>
      </c>
      <c r="X71">
        <f>+Q30</f>
        <v>640</v>
      </c>
      <c r="Y71">
        <f>+Q31</f>
        <v>560</v>
      </c>
      <c r="Z71">
        <f>+Q32</f>
        <v>480</v>
      </c>
      <c r="AA71">
        <f>+Q33</f>
        <v>680</v>
      </c>
      <c r="AB71">
        <f>+Q34</f>
        <v>560</v>
      </c>
      <c r="AC71">
        <f>+Q35</f>
        <v>520</v>
      </c>
      <c r="AD71">
        <f>+Q36</f>
        <v>640</v>
      </c>
    </row>
    <row r="72" spans="1:30">
      <c r="A72" t="s">
        <v>1304</v>
      </c>
      <c r="B72">
        <f>+S8</f>
        <v>396</v>
      </c>
      <c r="C72">
        <f>+S9</f>
        <v>720</v>
      </c>
      <c r="D72">
        <f>+S10</f>
        <v>504</v>
      </c>
      <c r="E72">
        <f>+S11</f>
        <v>486</v>
      </c>
      <c r="F72">
        <f>+S12</f>
        <v>486</v>
      </c>
      <c r="G72">
        <f>+S13</f>
        <v>720</v>
      </c>
      <c r="H72">
        <f>+S14</f>
        <v>720</v>
      </c>
      <c r="I72">
        <f>+S15</f>
        <v>495</v>
      </c>
      <c r="J72">
        <f>+S16</f>
        <v>468</v>
      </c>
      <c r="K72" s="534">
        <f>+S17</f>
        <v>720</v>
      </c>
      <c r="L72">
        <f>+S18</f>
        <v>540</v>
      </c>
      <c r="M72">
        <f>+S19</f>
        <v>720</v>
      </c>
      <c r="N72">
        <f>+S20</f>
        <v>468</v>
      </c>
      <c r="O72">
        <f>+S21</f>
        <v>720</v>
      </c>
      <c r="P72">
        <f>+S22</f>
        <v>720</v>
      </c>
      <c r="Q72">
        <f>+S23</f>
        <v>468</v>
      </c>
      <c r="R72">
        <f>+S24</f>
        <v>486</v>
      </c>
      <c r="S72">
        <f>+S25</f>
        <v>468</v>
      </c>
      <c r="T72">
        <f>+S26</f>
        <v>396</v>
      </c>
      <c r="U72">
        <f>+S27</f>
        <v>486</v>
      </c>
      <c r="V72">
        <f>+S28</f>
        <v>468</v>
      </c>
      <c r="W72">
        <f>+S29</f>
        <v>486</v>
      </c>
      <c r="X72">
        <f>+S30</f>
        <v>468</v>
      </c>
      <c r="Y72">
        <f>+S31</f>
        <v>468</v>
      </c>
      <c r="Z72">
        <f>+S32</f>
        <v>396</v>
      </c>
      <c r="AA72">
        <f>+S33</f>
        <v>468</v>
      </c>
      <c r="AB72">
        <f>+S34</f>
        <v>585</v>
      </c>
      <c r="AC72">
        <f>+S35</f>
        <v>486</v>
      </c>
      <c r="AD72">
        <f>+S36</f>
        <v>720</v>
      </c>
    </row>
    <row r="73" spans="1:30">
      <c r="A73" t="s">
        <v>1341</v>
      </c>
      <c r="O73">
        <f>8000*0.2</f>
        <v>1600</v>
      </c>
    </row>
    <row r="74" spans="1:30">
      <c r="A74" t="s">
        <v>1305</v>
      </c>
      <c r="C74">
        <v>600</v>
      </c>
      <c r="G74">
        <v>600</v>
      </c>
      <c r="H74">
        <v>600</v>
      </c>
      <c r="K74" s="534">
        <v>600</v>
      </c>
      <c r="M74">
        <v>600</v>
      </c>
      <c r="O74">
        <v>600</v>
      </c>
      <c r="P74">
        <v>600</v>
      </c>
      <c r="AD74">
        <v>600</v>
      </c>
    </row>
    <row r="75" spans="1:30">
      <c r="A75" t="s">
        <v>1306</v>
      </c>
      <c r="C75">
        <v>200</v>
      </c>
      <c r="G75">
        <v>200</v>
      </c>
      <c r="H75">
        <v>200</v>
      </c>
      <c r="K75" s="534">
        <v>200</v>
      </c>
      <c r="M75">
        <v>200</v>
      </c>
      <c r="O75">
        <v>200</v>
      </c>
      <c r="P75">
        <v>200</v>
      </c>
      <c r="AD75">
        <v>200</v>
      </c>
    </row>
    <row r="76" spans="1:30">
      <c r="A76" t="s">
        <v>1307</v>
      </c>
      <c r="B76">
        <f>+B52</f>
        <v>66</v>
      </c>
      <c r="C76">
        <f t="shared" ref="C76:AD76" si="19">+C52</f>
        <v>396</v>
      </c>
      <c r="D76">
        <f t="shared" si="19"/>
        <v>234.29999999999998</v>
      </c>
      <c r="E76">
        <f t="shared" si="19"/>
        <v>204.6</v>
      </c>
      <c r="F76">
        <f t="shared" si="19"/>
        <v>234.29999999999998</v>
      </c>
      <c r="G76">
        <f t="shared" si="19"/>
        <v>445.5</v>
      </c>
      <c r="H76">
        <f t="shared" si="19"/>
        <v>452.09999999999997</v>
      </c>
      <c r="I76">
        <f t="shared" si="19"/>
        <v>234.29999999999998</v>
      </c>
      <c r="J76">
        <f t="shared" si="19"/>
        <v>161.69999999999999</v>
      </c>
      <c r="K76" s="534">
        <f t="shared" si="19"/>
        <v>333.29999999999995</v>
      </c>
      <c r="L76">
        <f t="shared" si="19"/>
        <v>95.699999999999989</v>
      </c>
      <c r="M76">
        <f t="shared" si="19"/>
        <v>521.4</v>
      </c>
      <c r="N76">
        <f t="shared" si="19"/>
        <v>122.1</v>
      </c>
      <c r="O76">
        <f t="shared" si="19"/>
        <v>412.5</v>
      </c>
      <c r="P76">
        <f t="shared" si="19"/>
        <v>339.9</v>
      </c>
      <c r="Q76">
        <f t="shared" si="19"/>
        <v>141.9</v>
      </c>
      <c r="R76">
        <f t="shared" si="19"/>
        <v>198</v>
      </c>
      <c r="S76">
        <f t="shared" si="19"/>
        <v>132</v>
      </c>
      <c r="T76">
        <f t="shared" si="19"/>
        <v>115.5</v>
      </c>
      <c r="U76">
        <f t="shared" si="19"/>
        <v>231</v>
      </c>
      <c r="V76">
        <f t="shared" si="19"/>
        <v>158.39999999999998</v>
      </c>
      <c r="W76">
        <f t="shared" si="19"/>
        <v>283.8</v>
      </c>
      <c r="X76">
        <f t="shared" si="19"/>
        <v>138.6</v>
      </c>
      <c r="Y76">
        <f t="shared" si="19"/>
        <v>184.79999999999998</v>
      </c>
      <c r="Z76">
        <f t="shared" si="19"/>
        <v>66</v>
      </c>
      <c r="AA76">
        <f t="shared" si="19"/>
        <v>188.1</v>
      </c>
      <c r="AB76">
        <f t="shared" si="19"/>
        <v>194.7</v>
      </c>
      <c r="AC76">
        <f t="shared" si="19"/>
        <v>257.39999999999998</v>
      </c>
      <c r="AD76">
        <f t="shared" si="19"/>
        <v>392.7</v>
      </c>
    </row>
    <row r="77" spans="1:30">
      <c r="A77" t="s">
        <v>1308</v>
      </c>
      <c r="C77">
        <v>85</v>
      </c>
      <c r="D77">
        <v>65</v>
      </c>
      <c r="E77">
        <v>65</v>
      </c>
      <c r="F77">
        <v>65</v>
      </c>
      <c r="G77">
        <v>85</v>
      </c>
      <c r="H77">
        <v>85</v>
      </c>
      <c r="I77">
        <v>65</v>
      </c>
      <c r="K77" s="534">
        <v>65</v>
      </c>
      <c r="M77">
        <v>85</v>
      </c>
      <c r="O77">
        <v>85</v>
      </c>
      <c r="P77">
        <v>85</v>
      </c>
      <c r="R77">
        <v>65</v>
      </c>
      <c r="U77">
        <v>65</v>
      </c>
      <c r="W77">
        <v>65</v>
      </c>
      <c r="AB77">
        <v>65</v>
      </c>
      <c r="AC77">
        <v>65</v>
      </c>
      <c r="AD77">
        <v>85</v>
      </c>
    </row>
    <row r="78" spans="1:30">
      <c r="A78" t="s">
        <v>1309</v>
      </c>
      <c r="C78">
        <v>110</v>
      </c>
      <c r="D78">
        <v>60</v>
      </c>
      <c r="E78">
        <v>60</v>
      </c>
      <c r="F78">
        <v>60</v>
      </c>
      <c r="G78">
        <v>110</v>
      </c>
      <c r="H78">
        <v>110</v>
      </c>
      <c r="I78">
        <v>60</v>
      </c>
      <c r="J78">
        <v>60</v>
      </c>
      <c r="K78" s="534">
        <v>60</v>
      </c>
      <c r="M78">
        <v>110</v>
      </c>
      <c r="O78">
        <v>110</v>
      </c>
      <c r="P78">
        <v>110</v>
      </c>
      <c r="Q78">
        <v>60</v>
      </c>
      <c r="R78">
        <v>60</v>
      </c>
      <c r="U78">
        <v>60</v>
      </c>
      <c r="V78">
        <v>60</v>
      </c>
      <c r="W78">
        <v>60</v>
      </c>
      <c r="X78">
        <v>60</v>
      </c>
      <c r="Y78">
        <v>60</v>
      </c>
      <c r="AA78">
        <v>60</v>
      </c>
      <c r="AB78">
        <v>60</v>
      </c>
      <c r="AC78">
        <v>60</v>
      </c>
      <c r="AD78">
        <v>110</v>
      </c>
    </row>
    <row r="79" spans="1:30">
      <c r="A79" t="s">
        <v>1310</v>
      </c>
      <c r="C79">
        <f>0.4*800</f>
        <v>320</v>
      </c>
      <c r="D79">
        <f t="shared" ref="D79:R79" si="20">0.4*800</f>
        <v>320</v>
      </c>
      <c r="E79">
        <f t="shared" si="20"/>
        <v>320</v>
      </c>
      <c r="F79">
        <f t="shared" si="20"/>
        <v>320</v>
      </c>
      <c r="G79">
        <f t="shared" si="20"/>
        <v>320</v>
      </c>
      <c r="H79">
        <f t="shared" si="20"/>
        <v>320</v>
      </c>
      <c r="I79">
        <f t="shared" si="20"/>
        <v>320</v>
      </c>
      <c r="J79">
        <f t="shared" si="20"/>
        <v>320</v>
      </c>
      <c r="K79" s="534">
        <f t="shared" si="20"/>
        <v>320</v>
      </c>
      <c r="M79">
        <f t="shared" si="20"/>
        <v>320</v>
      </c>
      <c r="O79">
        <f t="shared" si="20"/>
        <v>320</v>
      </c>
      <c r="P79">
        <f t="shared" si="20"/>
        <v>320</v>
      </c>
      <c r="R79">
        <f t="shared" si="20"/>
        <v>320</v>
      </c>
      <c r="U79">
        <f>0.4*800</f>
        <v>320</v>
      </c>
      <c r="W79">
        <f>0.4*800</f>
        <v>320</v>
      </c>
      <c r="Y79">
        <f>0.4*800</f>
        <v>320</v>
      </c>
      <c r="AA79">
        <f>0.4*800</f>
        <v>320</v>
      </c>
      <c r="AB79">
        <f>0.4*800</f>
        <v>320</v>
      </c>
      <c r="AC79">
        <f>0.4*800</f>
        <v>320</v>
      </c>
      <c r="AD79">
        <f>0.4*800</f>
        <v>320</v>
      </c>
    </row>
    <row r="80" spans="1:30">
      <c r="A80" t="s">
        <v>1311</v>
      </c>
      <c r="C80">
        <v>832</v>
      </c>
      <c r="D80">
        <v>832</v>
      </c>
      <c r="E80">
        <v>832</v>
      </c>
      <c r="F80">
        <v>832</v>
      </c>
      <c r="G80">
        <v>832</v>
      </c>
      <c r="H80">
        <v>832</v>
      </c>
      <c r="M80">
        <v>832</v>
      </c>
      <c r="O80">
        <v>832</v>
      </c>
      <c r="P80">
        <v>832</v>
      </c>
      <c r="R80">
        <v>832</v>
      </c>
      <c r="U80">
        <v>832</v>
      </c>
      <c r="W80">
        <v>832</v>
      </c>
      <c r="AB80">
        <v>832</v>
      </c>
      <c r="AC80">
        <v>832</v>
      </c>
      <c r="AD80">
        <v>832</v>
      </c>
    </row>
    <row r="81" spans="1:31">
      <c r="A81" t="s">
        <v>1312</v>
      </c>
      <c r="C81">
        <v>230</v>
      </c>
      <c r="D81">
        <v>115</v>
      </c>
      <c r="E81">
        <v>115</v>
      </c>
      <c r="F81">
        <v>115</v>
      </c>
      <c r="G81">
        <v>230</v>
      </c>
      <c r="H81">
        <v>230</v>
      </c>
      <c r="I81">
        <v>115</v>
      </c>
      <c r="J81">
        <v>115</v>
      </c>
      <c r="K81" s="534">
        <v>230</v>
      </c>
      <c r="M81">
        <v>230</v>
      </c>
      <c r="O81">
        <v>230</v>
      </c>
      <c r="P81">
        <v>230</v>
      </c>
      <c r="Q81">
        <v>115</v>
      </c>
      <c r="R81">
        <v>115</v>
      </c>
      <c r="S81">
        <v>115</v>
      </c>
      <c r="U81">
        <v>115</v>
      </c>
      <c r="V81">
        <v>115</v>
      </c>
      <c r="W81">
        <v>230</v>
      </c>
      <c r="X81">
        <v>115</v>
      </c>
      <c r="Y81">
        <v>115</v>
      </c>
      <c r="AA81">
        <v>115</v>
      </c>
      <c r="AB81">
        <v>115</v>
      </c>
      <c r="AC81">
        <v>115</v>
      </c>
      <c r="AD81">
        <v>230</v>
      </c>
    </row>
    <row r="82" spans="1:31">
      <c r="A82" t="s">
        <v>1313</v>
      </c>
      <c r="C82">
        <f>+U9</f>
        <v>240</v>
      </c>
      <c r="D82">
        <f>+U10</f>
        <v>0</v>
      </c>
      <c r="E82">
        <f>+U11</f>
        <v>0</v>
      </c>
      <c r="F82">
        <f>+U12</f>
        <v>0</v>
      </c>
      <c r="G82">
        <f>+U13</f>
        <v>330</v>
      </c>
      <c r="H82">
        <f>+U14</f>
        <v>342</v>
      </c>
      <c r="I82">
        <f>+U15</f>
        <v>0</v>
      </c>
      <c r="J82">
        <f>+U16</f>
        <v>0</v>
      </c>
      <c r="K82" s="534">
        <f>+U17</f>
        <v>126</v>
      </c>
      <c r="L82">
        <f>+U18</f>
        <v>0</v>
      </c>
      <c r="M82">
        <f>+U19</f>
        <v>468</v>
      </c>
      <c r="N82">
        <f>+U20</f>
        <v>0</v>
      </c>
      <c r="O82">
        <f>+U21</f>
        <v>270</v>
      </c>
      <c r="P82">
        <f>+U22</f>
        <v>138</v>
      </c>
      <c r="Q82">
        <f>+U23</f>
        <v>0</v>
      </c>
      <c r="R82">
        <f>+U24</f>
        <v>0</v>
      </c>
      <c r="S82">
        <f>+U25</f>
        <v>0</v>
      </c>
      <c r="T82">
        <f>+U26</f>
        <v>0</v>
      </c>
      <c r="U82">
        <f>+U27</f>
        <v>0</v>
      </c>
      <c r="V82">
        <f>+U28</f>
        <v>0</v>
      </c>
      <c r="W82">
        <f>+U29</f>
        <v>36</v>
      </c>
      <c r="X82">
        <f>+U30</f>
        <v>0</v>
      </c>
      <c r="Y82">
        <f>+U31</f>
        <v>0</v>
      </c>
      <c r="Z82">
        <f>+U32</f>
        <v>0</v>
      </c>
      <c r="AA82">
        <f>+U33</f>
        <v>0</v>
      </c>
      <c r="AB82">
        <f>+U34</f>
        <v>0</v>
      </c>
      <c r="AC82">
        <f>+U35</f>
        <v>0</v>
      </c>
      <c r="AD82">
        <f>+U36</f>
        <v>234</v>
      </c>
    </row>
    <row r="83" spans="1:31">
      <c r="A83" t="s">
        <v>1314</v>
      </c>
      <c r="C83">
        <v>200</v>
      </c>
      <c r="G83">
        <v>200</v>
      </c>
      <c r="H83">
        <v>200</v>
      </c>
      <c r="K83" s="534">
        <v>200</v>
      </c>
      <c r="M83">
        <v>200</v>
      </c>
      <c r="O83">
        <v>200</v>
      </c>
      <c r="P83">
        <v>200</v>
      </c>
      <c r="AD83">
        <v>200</v>
      </c>
    </row>
    <row r="84" spans="1:31">
      <c r="A84" t="s">
        <v>1315</v>
      </c>
      <c r="C84">
        <v>200</v>
      </c>
      <c r="G84">
        <v>200</v>
      </c>
      <c r="H84">
        <v>200</v>
      </c>
      <c r="K84" s="534">
        <v>200</v>
      </c>
      <c r="M84">
        <v>200</v>
      </c>
      <c r="O84">
        <v>200</v>
      </c>
      <c r="P84">
        <v>200</v>
      </c>
      <c r="AD84">
        <v>200</v>
      </c>
    </row>
    <row r="85" spans="1:31">
      <c r="A85" t="s">
        <v>1316</v>
      </c>
      <c r="C85">
        <v>200</v>
      </c>
      <c r="D85">
        <v>200</v>
      </c>
      <c r="E85">
        <v>200</v>
      </c>
      <c r="F85">
        <v>200</v>
      </c>
      <c r="G85">
        <v>200</v>
      </c>
      <c r="H85">
        <v>200</v>
      </c>
      <c r="I85">
        <v>200</v>
      </c>
      <c r="K85" s="534">
        <v>200</v>
      </c>
      <c r="M85">
        <v>200</v>
      </c>
      <c r="O85">
        <v>200</v>
      </c>
      <c r="P85">
        <v>200</v>
      </c>
      <c r="R85">
        <v>200</v>
      </c>
      <c r="U85">
        <v>200</v>
      </c>
      <c r="W85">
        <v>200</v>
      </c>
      <c r="AB85">
        <v>200</v>
      </c>
      <c r="AC85">
        <v>200</v>
      </c>
      <c r="AD85">
        <v>200</v>
      </c>
    </row>
    <row r="86" spans="1:31">
      <c r="A86" t="s">
        <v>1317</v>
      </c>
      <c r="C86">
        <v>500</v>
      </c>
      <c r="G86">
        <v>500</v>
      </c>
      <c r="H86">
        <v>500</v>
      </c>
      <c r="K86" s="534">
        <v>500</v>
      </c>
      <c r="M86">
        <v>500</v>
      </c>
      <c r="O86">
        <v>500</v>
      </c>
      <c r="P86">
        <v>500</v>
      </c>
      <c r="AD86">
        <v>500</v>
      </c>
    </row>
    <row r="87" spans="1:31">
      <c r="A87" t="s">
        <v>1318</v>
      </c>
      <c r="C87">
        <v>231</v>
      </c>
      <c r="D87">
        <v>139</v>
      </c>
      <c r="E87">
        <v>139</v>
      </c>
      <c r="F87">
        <v>139</v>
      </c>
      <c r="G87">
        <v>139</v>
      </c>
      <c r="H87">
        <v>139</v>
      </c>
      <c r="I87">
        <v>139</v>
      </c>
      <c r="J87">
        <v>38</v>
      </c>
      <c r="K87" s="534">
        <v>231</v>
      </c>
      <c r="L87">
        <v>38</v>
      </c>
      <c r="M87">
        <v>139</v>
      </c>
      <c r="N87">
        <v>38</v>
      </c>
      <c r="O87">
        <v>231</v>
      </c>
      <c r="P87">
        <v>231</v>
      </c>
      <c r="Q87">
        <v>38</v>
      </c>
      <c r="R87">
        <v>139</v>
      </c>
      <c r="S87">
        <v>38</v>
      </c>
      <c r="T87">
        <v>38</v>
      </c>
      <c r="U87">
        <v>139</v>
      </c>
      <c r="V87">
        <v>38</v>
      </c>
      <c r="W87">
        <v>139</v>
      </c>
      <c r="X87">
        <v>38</v>
      </c>
      <c r="Y87">
        <v>139</v>
      </c>
      <c r="Z87">
        <v>0</v>
      </c>
      <c r="AA87">
        <v>139</v>
      </c>
      <c r="AB87">
        <v>139</v>
      </c>
      <c r="AC87">
        <v>139</v>
      </c>
      <c r="AD87">
        <v>139</v>
      </c>
    </row>
    <row r="88" spans="1:31">
      <c r="A88" t="s">
        <v>1319</v>
      </c>
      <c r="B88">
        <v>200</v>
      </c>
      <c r="C88">
        <v>200</v>
      </c>
      <c r="D88">
        <v>200</v>
      </c>
      <c r="E88">
        <v>200</v>
      </c>
      <c r="F88">
        <v>200</v>
      </c>
      <c r="G88">
        <v>300</v>
      </c>
      <c r="H88">
        <v>300</v>
      </c>
      <c r="I88">
        <v>300</v>
      </c>
      <c r="J88">
        <v>200</v>
      </c>
      <c r="K88" s="534">
        <v>200</v>
      </c>
      <c r="L88">
        <v>300</v>
      </c>
      <c r="M88">
        <v>200</v>
      </c>
      <c r="N88">
        <v>200</v>
      </c>
      <c r="O88">
        <v>200</v>
      </c>
      <c r="P88">
        <v>300</v>
      </c>
      <c r="Q88">
        <v>200</v>
      </c>
      <c r="R88">
        <v>200</v>
      </c>
      <c r="S88">
        <v>200</v>
      </c>
      <c r="T88">
        <v>200</v>
      </c>
      <c r="U88">
        <v>200</v>
      </c>
      <c r="V88">
        <v>200</v>
      </c>
      <c r="W88">
        <v>200</v>
      </c>
      <c r="X88">
        <v>200</v>
      </c>
      <c r="Y88">
        <v>200</v>
      </c>
      <c r="Z88">
        <v>200</v>
      </c>
      <c r="AA88">
        <v>200</v>
      </c>
      <c r="AB88">
        <v>200</v>
      </c>
      <c r="AC88">
        <v>300</v>
      </c>
      <c r="AD88">
        <v>200</v>
      </c>
    </row>
    <row r="89" spans="1:31">
      <c r="A89" t="s">
        <v>1320</v>
      </c>
      <c r="C89">
        <v>270</v>
      </c>
      <c r="D89">
        <v>270</v>
      </c>
      <c r="E89">
        <v>270</v>
      </c>
      <c r="F89">
        <v>270</v>
      </c>
      <c r="G89">
        <v>270</v>
      </c>
      <c r="H89">
        <v>270</v>
      </c>
      <c r="I89">
        <v>270</v>
      </c>
      <c r="K89" s="534">
        <v>270</v>
      </c>
      <c r="M89">
        <v>270</v>
      </c>
      <c r="O89">
        <v>270</v>
      </c>
      <c r="P89">
        <v>270</v>
      </c>
      <c r="R89">
        <v>270</v>
      </c>
      <c r="U89">
        <v>270</v>
      </c>
      <c r="W89">
        <v>270</v>
      </c>
      <c r="AB89">
        <v>270</v>
      </c>
      <c r="AC89">
        <v>270</v>
      </c>
      <c r="AD89">
        <v>270</v>
      </c>
    </row>
    <row r="90" spans="1:31">
      <c r="A90" t="s">
        <v>1340</v>
      </c>
      <c r="C90">
        <f>+C77</f>
        <v>85</v>
      </c>
      <c r="D90">
        <f t="shared" ref="D90:AD90" si="21">+D77</f>
        <v>65</v>
      </c>
      <c r="E90">
        <f t="shared" si="21"/>
        <v>65</v>
      </c>
      <c r="F90">
        <f t="shared" si="21"/>
        <v>65</v>
      </c>
      <c r="G90">
        <f t="shared" si="21"/>
        <v>85</v>
      </c>
      <c r="H90">
        <f t="shared" si="21"/>
        <v>85</v>
      </c>
      <c r="I90">
        <f t="shared" si="21"/>
        <v>65</v>
      </c>
      <c r="J90">
        <f t="shared" si="21"/>
        <v>0</v>
      </c>
      <c r="K90" s="534">
        <f t="shared" si="21"/>
        <v>65</v>
      </c>
      <c r="L90">
        <f t="shared" si="21"/>
        <v>0</v>
      </c>
      <c r="M90">
        <f t="shared" si="21"/>
        <v>85</v>
      </c>
      <c r="N90">
        <f t="shared" si="21"/>
        <v>0</v>
      </c>
      <c r="O90">
        <f t="shared" si="21"/>
        <v>85</v>
      </c>
      <c r="P90">
        <f t="shared" si="21"/>
        <v>85</v>
      </c>
      <c r="Q90">
        <f t="shared" si="21"/>
        <v>0</v>
      </c>
      <c r="R90">
        <f t="shared" si="21"/>
        <v>65</v>
      </c>
      <c r="S90">
        <f t="shared" si="21"/>
        <v>0</v>
      </c>
      <c r="T90">
        <f t="shared" si="21"/>
        <v>0</v>
      </c>
      <c r="U90">
        <f t="shared" si="21"/>
        <v>65</v>
      </c>
      <c r="V90">
        <f t="shared" si="21"/>
        <v>0</v>
      </c>
      <c r="W90">
        <f t="shared" si="21"/>
        <v>65</v>
      </c>
      <c r="X90">
        <f t="shared" si="21"/>
        <v>0</v>
      </c>
      <c r="Y90">
        <f t="shared" si="21"/>
        <v>0</v>
      </c>
      <c r="Z90">
        <f t="shared" si="21"/>
        <v>0</v>
      </c>
      <c r="AA90">
        <f t="shared" si="21"/>
        <v>0</v>
      </c>
      <c r="AB90">
        <f t="shared" si="21"/>
        <v>65</v>
      </c>
      <c r="AC90">
        <f t="shared" si="21"/>
        <v>65</v>
      </c>
      <c r="AD90">
        <f t="shared" si="21"/>
        <v>85</v>
      </c>
    </row>
    <row r="91" spans="1:31">
      <c r="A91" t="s">
        <v>1321</v>
      </c>
    </row>
    <row r="92" spans="1:31">
      <c r="A92" t="s">
        <v>1322</v>
      </c>
      <c r="C92">
        <v>200</v>
      </c>
      <c r="D92">
        <v>100</v>
      </c>
      <c r="E92">
        <v>100</v>
      </c>
      <c r="F92">
        <v>100</v>
      </c>
      <c r="G92">
        <v>200</v>
      </c>
      <c r="H92">
        <v>200</v>
      </c>
      <c r="I92">
        <v>100</v>
      </c>
      <c r="K92" s="534">
        <v>100</v>
      </c>
      <c r="M92">
        <v>200</v>
      </c>
      <c r="O92">
        <v>200</v>
      </c>
      <c r="P92">
        <v>200</v>
      </c>
      <c r="R92">
        <v>100</v>
      </c>
      <c r="U92">
        <v>100</v>
      </c>
      <c r="W92">
        <v>100</v>
      </c>
      <c r="AB92">
        <v>100</v>
      </c>
      <c r="AC92">
        <v>100</v>
      </c>
      <c r="AD92">
        <v>200</v>
      </c>
    </row>
    <row r="93" spans="1:31">
      <c r="A93" t="s">
        <v>1323</v>
      </c>
      <c r="B93">
        <f>+W8</f>
        <v>660</v>
      </c>
      <c r="C93">
        <f>+W9</f>
        <v>3960</v>
      </c>
      <c r="D93">
        <f>+W10</f>
        <v>2343</v>
      </c>
      <c r="E93">
        <f>+W11</f>
        <v>2046</v>
      </c>
      <c r="F93">
        <f>+W12</f>
        <v>2343</v>
      </c>
      <c r="G93">
        <f>+W13</f>
        <v>4455</v>
      </c>
      <c r="H93">
        <f>+W14</f>
        <v>4521</v>
      </c>
      <c r="I93">
        <f>+W15</f>
        <v>2343</v>
      </c>
      <c r="J93">
        <f>+W16</f>
        <v>1617</v>
      </c>
      <c r="K93" s="534">
        <f>+W17</f>
        <v>3332.9999999999995</v>
      </c>
      <c r="L93">
        <f>+W18</f>
        <v>956.99999999999989</v>
      </c>
      <c r="M93">
        <f>+W19</f>
        <v>5214</v>
      </c>
      <c r="N93">
        <f>+W20</f>
        <v>1221</v>
      </c>
      <c r="O93">
        <f>+W21</f>
        <v>4125</v>
      </c>
      <c r="P93">
        <f>+W22</f>
        <v>3399</v>
      </c>
      <c r="Q93">
        <f>+W23</f>
        <v>1419</v>
      </c>
      <c r="R93">
        <f>+W24</f>
        <v>1980</v>
      </c>
      <c r="S93">
        <f>+W25</f>
        <v>1320</v>
      </c>
      <c r="T93">
        <f>+W26</f>
        <v>1155</v>
      </c>
      <c r="U93">
        <f>+W27</f>
        <v>2310</v>
      </c>
      <c r="V93">
        <f>+W28</f>
        <v>1583.9999999999998</v>
      </c>
      <c r="W93">
        <f>+W29</f>
        <v>2838</v>
      </c>
      <c r="X93">
        <f>+W30</f>
        <v>1386</v>
      </c>
      <c r="Y93">
        <f>+W31</f>
        <v>1847.9999999999998</v>
      </c>
      <c r="Z93">
        <f>+W32</f>
        <v>660</v>
      </c>
      <c r="AA93">
        <f>+W33</f>
        <v>1881</v>
      </c>
      <c r="AB93">
        <f>+W34</f>
        <v>1947</v>
      </c>
      <c r="AC93">
        <f>+W35</f>
        <v>2574</v>
      </c>
      <c r="AD93">
        <f>+W36</f>
        <v>3927</v>
      </c>
    </row>
    <row r="94" spans="1:31">
      <c r="B94">
        <f>SUM(B41:B93)</f>
        <v>18614.25</v>
      </c>
      <c r="C94">
        <f t="shared" ref="C94:AD94" si="22">SUM(C41:C93)</f>
        <v>48409</v>
      </c>
      <c r="D94">
        <f t="shared" si="22"/>
        <v>29435.3</v>
      </c>
      <c r="E94">
        <f t="shared" si="22"/>
        <v>28833.599999999999</v>
      </c>
      <c r="F94">
        <f t="shared" si="22"/>
        <v>28737.3</v>
      </c>
      <c r="G94">
        <f t="shared" si="22"/>
        <v>52806.5</v>
      </c>
      <c r="H94">
        <f t="shared" si="22"/>
        <v>54413.1</v>
      </c>
      <c r="I94">
        <f t="shared" si="22"/>
        <v>28584.3</v>
      </c>
      <c r="J94">
        <f t="shared" si="22"/>
        <v>26501.7</v>
      </c>
      <c r="K94" s="534">
        <f t="shared" si="22"/>
        <v>42199.3</v>
      </c>
      <c r="L94">
        <f t="shared" si="22"/>
        <v>24122.7</v>
      </c>
      <c r="M94">
        <f t="shared" si="22"/>
        <v>55222.400000000001</v>
      </c>
      <c r="N94">
        <f t="shared" si="22"/>
        <v>22790.1</v>
      </c>
      <c r="O94">
        <f t="shared" si="22"/>
        <v>49873.5</v>
      </c>
      <c r="P94">
        <f t="shared" si="22"/>
        <v>49907.9</v>
      </c>
      <c r="Q94">
        <f t="shared" si="22"/>
        <v>23575.9</v>
      </c>
      <c r="R94">
        <f t="shared" si="22"/>
        <v>25785</v>
      </c>
      <c r="S94">
        <f t="shared" si="22"/>
        <v>24238</v>
      </c>
      <c r="T94">
        <f t="shared" si="22"/>
        <v>21814.5</v>
      </c>
      <c r="U94">
        <f t="shared" si="22"/>
        <v>30148</v>
      </c>
      <c r="V94">
        <f t="shared" si="22"/>
        <v>25102.400000000001</v>
      </c>
      <c r="W94">
        <f t="shared" si="22"/>
        <v>30195.8</v>
      </c>
      <c r="X94">
        <f t="shared" si="22"/>
        <v>24116.6</v>
      </c>
      <c r="Y94">
        <f t="shared" si="22"/>
        <v>25467.8</v>
      </c>
      <c r="Z94">
        <f t="shared" si="22"/>
        <v>19504.25</v>
      </c>
      <c r="AA94">
        <f t="shared" si="22"/>
        <v>25897.1</v>
      </c>
      <c r="AB94">
        <f t="shared" si="22"/>
        <v>29504.7</v>
      </c>
      <c r="AC94">
        <f t="shared" si="22"/>
        <v>29832.400000000001</v>
      </c>
      <c r="AD94">
        <f t="shared" si="22"/>
        <v>46683.85</v>
      </c>
    </row>
    <row r="95" spans="1:31" s="446" customFormat="1" ht="81.75">
      <c r="A95" s="442"/>
      <c r="B95" s="442" t="s">
        <v>174</v>
      </c>
      <c r="C95" s="443" t="s">
        <v>223</v>
      </c>
      <c r="D95" s="443" t="s">
        <v>224</v>
      </c>
      <c r="E95" s="443" t="s">
        <v>226</v>
      </c>
      <c r="F95" s="443" t="s">
        <v>227</v>
      </c>
      <c r="G95" s="443" t="s">
        <v>228</v>
      </c>
      <c r="H95" s="443" t="s">
        <v>229</v>
      </c>
      <c r="I95" s="444" t="s">
        <v>213</v>
      </c>
      <c r="J95" s="443" t="s">
        <v>231</v>
      </c>
      <c r="K95" s="537" t="s">
        <v>232</v>
      </c>
      <c r="L95" s="443" t="s">
        <v>233</v>
      </c>
      <c r="M95" s="443" t="s">
        <v>235</v>
      </c>
      <c r="N95" s="443" t="s">
        <v>237</v>
      </c>
      <c r="O95" s="443" t="s">
        <v>238</v>
      </c>
      <c r="P95" s="443" t="s">
        <v>1022</v>
      </c>
      <c r="Q95" s="443" t="s">
        <v>241</v>
      </c>
      <c r="R95" s="443" t="s">
        <v>242</v>
      </c>
      <c r="S95" s="443" t="s">
        <v>243</v>
      </c>
      <c r="T95" s="443" t="s">
        <v>244</v>
      </c>
      <c r="U95" s="443" t="s">
        <v>245</v>
      </c>
      <c r="V95" s="442" t="s">
        <v>246</v>
      </c>
      <c r="W95" s="443" t="s">
        <v>247</v>
      </c>
      <c r="X95" s="443" t="s">
        <v>249</v>
      </c>
      <c r="Y95" s="443" t="s">
        <v>248</v>
      </c>
      <c r="Z95" s="443" t="s">
        <v>250</v>
      </c>
      <c r="AA95" s="443" t="s">
        <v>252</v>
      </c>
      <c r="AB95" s="443" t="s">
        <v>253</v>
      </c>
      <c r="AC95" s="444" t="s">
        <v>254</v>
      </c>
      <c r="AD95" s="443" t="s">
        <v>255</v>
      </c>
      <c r="AE95" s="445" t="s">
        <v>1249</v>
      </c>
    </row>
    <row r="98" spans="1:4">
      <c r="A98" t="s">
        <v>1324</v>
      </c>
    </row>
    <row r="99" spans="1:4">
      <c r="A99" t="s">
        <v>1325</v>
      </c>
      <c r="B99">
        <v>1500</v>
      </c>
    </row>
    <row r="100" spans="1:4">
      <c r="A100" t="s">
        <v>1326</v>
      </c>
      <c r="B100">
        <v>3200</v>
      </c>
    </row>
    <row r="101" spans="1:4">
      <c r="A101" t="s">
        <v>1327</v>
      </c>
      <c r="B101">
        <v>350</v>
      </c>
    </row>
    <row r="102" spans="1:4">
      <c r="A102" t="s">
        <v>1328</v>
      </c>
      <c r="B102">
        <v>20</v>
      </c>
    </row>
    <row r="103" spans="1:4">
      <c r="A103" t="s">
        <v>1329</v>
      </c>
      <c r="B103">
        <v>240</v>
      </c>
    </row>
    <row r="104" spans="1:4">
      <c r="A104" t="s">
        <v>667</v>
      </c>
      <c r="B104">
        <v>500</v>
      </c>
    </row>
    <row r="105" spans="1:4">
      <c r="A105" t="s">
        <v>1330</v>
      </c>
      <c r="B105">
        <v>190</v>
      </c>
    </row>
    <row r="106" spans="1:4">
      <c r="B106">
        <f>SUM(B99:B105)</f>
        <v>6000</v>
      </c>
    </row>
    <row r="107" spans="1:4">
      <c r="B107">
        <f>+B106*1.33</f>
        <v>7980</v>
      </c>
      <c r="D107" s="18">
        <f>8200</f>
        <v>8200</v>
      </c>
    </row>
  </sheetData>
  <phoneticPr fontId="57" type="noConversion"/>
  <pageMargins left="0.7" right="0.7" top="0.75" bottom="0.75" header="0.3" footer="0.3"/>
  <pageSetup paperSize="9" orientation="portrait" horizontalDpi="120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06FCE-9F8B-412D-9C7C-E5BC4901B8BF}">
  <sheetPr codeName="Sheet22" filterMode="1"/>
  <dimension ref="A2:N167"/>
  <sheetViews>
    <sheetView workbookViewId="0">
      <selection activeCell="BK30" sqref="BK30"/>
    </sheetView>
  </sheetViews>
  <sheetFormatPr defaultRowHeight="15"/>
  <cols>
    <col min="1" max="1" width="41.5703125" bestFit="1" customWidth="1"/>
    <col min="2" max="2" width="30.85546875" bestFit="1" customWidth="1"/>
    <col min="3" max="3" width="9.5703125" customWidth="1"/>
    <col min="4" max="5" width="7.7109375" customWidth="1"/>
    <col min="6" max="6" width="3.42578125" customWidth="1"/>
    <col min="7" max="7" width="10" bestFit="1" customWidth="1"/>
  </cols>
  <sheetData>
    <row r="2" spans="2:14" s="13" customFormat="1" ht="32.25">
      <c r="B2" s="12" t="s">
        <v>129</v>
      </c>
      <c r="C2" s="13" t="s">
        <v>130</v>
      </c>
      <c r="D2" s="13" t="s">
        <v>131</v>
      </c>
      <c r="E2" s="13" t="s">
        <v>3</v>
      </c>
      <c r="H2" s="14" t="s">
        <v>1100</v>
      </c>
      <c r="I2" s="14"/>
      <c r="J2" s="14"/>
      <c r="K2" s="14"/>
      <c r="L2" s="14"/>
      <c r="N2" s="386" t="s">
        <v>1101</v>
      </c>
    </row>
    <row r="3" spans="2:14">
      <c r="B3" t="str">
        <f>+Lifestyle!A14</f>
        <v>Adelaide 18</v>
      </c>
      <c r="C3" s="15">
        <f>+Lifestyle!BS14</f>
        <v>0</v>
      </c>
      <c r="D3" s="14" t="e">
        <f>+Shepparton!#REF!</f>
        <v>#REF!</v>
      </c>
      <c r="E3" s="14" t="e">
        <f>+Shepparton!#REF!</f>
        <v>#REF!</v>
      </c>
    </row>
    <row r="4" spans="2:14" hidden="1">
      <c r="B4" t="str">
        <f>+Lifestyle!A15</f>
        <v>Adelaide 21</v>
      </c>
      <c r="C4" s="15">
        <f>+Lifestyle!BS15</f>
        <v>0</v>
      </c>
      <c r="D4" s="14" t="e">
        <f>+Shepparton!#REF!</f>
        <v>#REF!</v>
      </c>
      <c r="E4" s="14" t="e">
        <f>+Shepparton!#REF!</f>
        <v>#REF!</v>
      </c>
    </row>
    <row r="5" spans="2:14" hidden="1">
      <c r="B5" t="str">
        <f>+Lifestyle!A16</f>
        <v>Adelaide 22A</v>
      </c>
      <c r="C5" s="15">
        <f>+Lifestyle!BS16</f>
        <v>0</v>
      </c>
      <c r="D5" s="14" t="e">
        <f>+Shepparton!#REF!</f>
        <v>#REF!</v>
      </c>
      <c r="E5" s="14" t="e">
        <f>+Shepparton!#REF!</f>
        <v>#REF!</v>
      </c>
    </row>
    <row r="6" spans="2:14" hidden="1">
      <c r="B6" t="str">
        <f>+Lifestyle!A17</f>
        <v>Adelaide 22B</v>
      </c>
      <c r="C6" s="15">
        <f>+Lifestyle!BS17</f>
        <v>0</v>
      </c>
      <c r="D6" s="14" t="e">
        <f>+Shepparton!#REF!</f>
        <v>#REF!</v>
      </c>
      <c r="E6" s="14" t="e">
        <f>+Shepparton!#REF!</f>
        <v>#REF!</v>
      </c>
    </row>
    <row r="7" spans="2:14" hidden="1">
      <c r="B7" t="str">
        <f>+Lifestyle!A18</f>
        <v>Adelaide 24</v>
      </c>
      <c r="C7" s="15">
        <f>+Lifestyle!BS18</f>
        <v>0</v>
      </c>
      <c r="D7" s="14" t="e">
        <f>+Shepparton!#REF!</f>
        <v>#REF!</v>
      </c>
      <c r="E7" s="14" t="e">
        <f>+Shepparton!#REF!</f>
        <v>#REF!</v>
      </c>
    </row>
    <row r="8" spans="2:14" hidden="1">
      <c r="B8" t="str">
        <f>+Lifestyle!A19</f>
        <v>Ashfield 24</v>
      </c>
      <c r="C8" s="15">
        <f>+Lifestyle!BS19</f>
        <v>0</v>
      </c>
      <c r="D8" s="14" t="e">
        <f>+Shepparton!#REF!</f>
        <v>#REF!</v>
      </c>
      <c r="E8" s="14" t="e">
        <f>+Shepparton!#REF!</f>
        <v>#REF!</v>
      </c>
    </row>
    <row r="9" spans="2:14" hidden="1">
      <c r="B9" t="str">
        <f>+Lifestyle!A20</f>
        <v>Ashfield 30</v>
      </c>
      <c r="C9" s="15">
        <f>+Lifestyle!BS20</f>
        <v>0</v>
      </c>
      <c r="D9" s="14" t="e">
        <f>+Shepparton!#REF!</f>
        <v>#REF!</v>
      </c>
      <c r="E9" s="14" t="e">
        <f>+Shepparton!#REF!</f>
        <v>#REF!</v>
      </c>
    </row>
    <row r="10" spans="2:14" hidden="1">
      <c r="B10" t="str">
        <f>+Lifestyle!A21</f>
        <v>Ashfield 34</v>
      </c>
      <c r="C10" s="15">
        <f>+Lifestyle!BS21</f>
        <v>0</v>
      </c>
      <c r="D10" s="14" t="e">
        <f>+Shepparton!#REF!</f>
        <v>#REF!</v>
      </c>
      <c r="E10" s="14" t="e">
        <f>+Shepparton!#REF!</f>
        <v>#REF!</v>
      </c>
    </row>
    <row r="11" spans="2:14" hidden="1">
      <c r="B11" t="str">
        <f>+Lifestyle!A22</f>
        <v>Ashley 19</v>
      </c>
      <c r="C11" s="15">
        <f>+Lifestyle!BS22</f>
        <v>0</v>
      </c>
      <c r="D11" s="14" t="e">
        <f>+Shepparton!#REF!</f>
        <v>#REF!</v>
      </c>
      <c r="E11" s="14" t="e">
        <f>+Shepparton!#REF!</f>
        <v>#REF!</v>
      </c>
    </row>
    <row r="12" spans="2:14" hidden="1">
      <c r="B12" t="str">
        <f>+Lifestyle!A24</f>
        <v>Ashley 22</v>
      </c>
      <c r="C12" s="15">
        <f>+Lifestyle!BS24</f>
        <v>0</v>
      </c>
      <c r="D12" s="14" t="e">
        <f>+Shepparton!#REF!</f>
        <v>#REF!</v>
      </c>
      <c r="E12" s="14" t="e">
        <f>+Shepparton!#REF!</f>
        <v>#REF!</v>
      </c>
    </row>
    <row r="13" spans="2:14" hidden="1">
      <c r="B13" t="str">
        <f>+Lifestyle!A26</f>
        <v>Ashley 24</v>
      </c>
      <c r="C13" s="15">
        <f>+Lifestyle!BS26</f>
        <v>0</v>
      </c>
      <c r="D13" s="14" t="e">
        <f>+Shepparton!#REF!</f>
        <v>#REF!</v>
      </c>
      <c r="E13" s="14" t="e">
        <f>+Shepparton!#REF!</f>
        <v>#REF!</v>
      </c>
    </row>
    <row r="14" spans="2:14" hidden="1">
      <c r="B14" t="str">
        <f>+Lifestyle!A27</f>
        <v>Ashley 25</v>
      </c>
      <c r="C14" s="15">
        <f>+Lifestyle!BS27</f>
        <v>0</v>
      </c>
      <c r="D14" s="14" t="e">
        <f>+Shepparton!#REF!</f>
        <v>#REF!</v>
      </c>
      <c r="E14" s="14" t="e">
        <f>+Shepparton!#REF!</f>
        <v>#REF!</v>
      </c>
    </row>
    <row r="15" spans="2:14" hidden="1">
      <c r="B15" t="str">
        <f>+Lifestyle!A28</f>
        <v>Ashley 25A</v>
      </c>
      <c r="C15" s="15">
        <f>+Lifestyle!BS28</f>
        <v>0</v>
      </c>
      <c r="D15" s="14" t="e">
        <f>+Shepparton!#REF!</f>
        <v>#REF!</v>
      </c>
      <c r="E15" s="14" t="e">
        <f>+Shepparton!#REF!</f>
        <v>#REF!</v>
      </c>
    </row>
    <row r="16" spans="2:14" hidden="1">
      <c r="B16" t="str">
        <f>+Lifestyle!A29</f>
        <v>Ashley 26</v>
      </c>
      <c r="C16" s="15">
        <f>+Lifestyle!BS29</f>
        <v>0</v>
      </c>
      <c r="D16" s="14" t="e">
        <f>+Shepparton!#REF!</f>
        <v>#REF!</v>
      </c>
      <c r="E16" s="14" t="e">
        <f>+Shepparton!#REF!</f>
        <v>#REF!</v>
      </c>
    </row>
    <row r="17" spans="2:5" hidden="1">
      <c r="B17" t="str">
        <f>+Lifestyle!A30</f>
        <v>Ashley 27</v>
      </c>
      <c r="C17" s="15">
        <f>+Lifestyle!BS30</f>
        <v>0</v>
      </c>
      <c r="D17" s="14" t="e">
        <f>+Shepparton!#REF!</f>
        <v>#REF!</v>
      </c>
      <c r="E17" s="14" t="e">
        <f>+Shepparton!#REF!</f>
        <v>#REF!</v>
      </c>
    </row>
    <row r="18" spans="2:5" hidden="1">
      <c r="B18" t="str">
        <f>+Lifestyle!A31</f>
        <v>Ashley 28</v>
      </c>
      <c r="C18" s="15">
        <f>+Lifestyle!BS31</f>
        <v>0</v>
      </c>
      <c r="D18" s="14" t="e">
        <f>+Shepparton!#REF!</f>
        <v>#REF!</v>
      </c>
      <c r="E18" s="14" t="e">
        <f>+Shepparton!#REF!</f>
        <v>#REF!</v>
      </c>
    </row>
    <row r="19" spans="2:5" hidden="1">
      <c r="B19" t="str">
        <f>+Lifestyle!A34</f>
        <v>Ballina 30</v>
      </c>
      <c r="C19" s="15">
        <f>+Lifestyle!BS34</f>
        <v>0</v>
      </c>
      <c r="D19" s="14" t="e">
        <f>+Shepparton!#REF!</f>
        <v>#REF!</v>
      </c>
      <c r="E19" s="14" t="e">
        <f>+Shepparton!#REF!</f>
        <v>#REF!</v>
      </c>
    </row>
    <row r="20" spans="2:5" hidden="1">
      <c r="B20" t="str">
        <f>+Lifestyle!A41</f>
        <v>Bayview 23</v>
      </c>
      <c r="C20" s="15">
        <f>+Lifestyle!BS41</f>
        <v>0</v>
      </c>
      <c r="D20" s="14" t="e">
        <f>+Shepparton!#REF!</f>
        <v>#REF!</v>
      </c>
      <c r="E20" s="14" t="e">
        <f>+Shepparton!#REF!</f>
        <v>#REF!</v>
      </c>
    </row>
    <row r="21" spans="2:5" hidden="1">
      <c r="B21" t="str">
        <f>+Lifestyle!A42</f>
        <v>Bayview 26</v>
      </c>
      <c r="C21" s="15">
        <f>+Lifestyle!BS42</f>
        <v>0</v>
      </c>
      <c r="D21" s="14" t="e">
        <f>+Shepparton!#REF!</f>
        <v>#REF!</v>
      </c>
      <c r="E21" s="14" t="e">
        <f>+Shepparton!#REF!</f>
        <v>#REF!</v>
      </c>
    </row>
    <row r="22" spans="2:5" hidden="1">
      <c r="B22" t="str">
        <f>+Lifestyle!A43</f>
        <v>Bayview 30</v>
      </c>
      <c r="C22" s="15">
        <f>+Lifestyle!BS43</f>
        <v>0</v>
      </c>
      <c r="D22" s="14" t="e">
        <f>+Shepparton!#REF!</f>
        <v>#REF!</v>
      </c>
      <c r="E22" s="14" t="e">
        <f>+Shepparton!#REF!</f>
        <v>#REF!</v>
      </c>
    </row>
    <row r="23" spans="2:5" hidden="1">
      <c r="B23" t="str">
        <f>+Lifestyle!A44</f>
        <v>Bondi 25</v>
      </c>
      <c r="C23" s="15">
        <f>+Lifestyle!BS44</f>
        <v>0</v>
      </c>
      <c r="D23" s="14" t="e">
        <f>+Shepparton!#REF!</f>
        <v>#REF!</v>
      </c>
      <c r="E23" s="14" t="e">
        <f>+Shepparton!#REF!</f>
        <v>#REF!</v>
      </c>
    </row>
    <row r="24" spans="2:5" hidden="1">
      <c r="B24" t="str">
        <f>+Lifestyle!A45</f>
        <v>Bondi 31</v>
      </c>
      <c r="C24" s="15">
        <f>+Lifestyle!BS45</f>
        <v>0</v>
      </c>
      <c r="D24" s="14" t="e">
        <f>+Shepparton!#REF!</f>
        <v>#REF!</v>
      </c>
      <c r="E24" s="14" t="e">
        <f>+Shepparton!#REF!</f>
        <v>#REF!</v>
      </c>
    </row>
    <row r="25" spans="2:5" hidden="1">
      <c r="B25" t="str">
        <f>+Lifestyle!A46</f>
        <v>Bondi 36</v>
      </c>
      <c r="C25" s="15">
        <f>+Lifestyle!BS46</f>
        <v>0</v>
      </c>
      <c r="D25" s="14" t="e">
        <f>+Shepparton!#REF!</f>
        <v>#REF!</v>
      </c>
      <c r="E25" s="14" t="e">
        <f>+Shepparton!#REF!</f>
        <v>#REF!</v>
      </c>
    </row>
    <row r="26" spans="2:5" hidden="1">
      <c r="B26" t="str">
        <f>+Lifestyle!A47</f>
        <v>Cambridge 22</v>
      </c>
      <c r="C26" s="15">
        <f>+Lifestyle!BS47</f>
        <v>0</v>
      </c>
      <c r="D26" s="14" t="e">
        <f>+Shepparton!#REF!</f>
        <v>#REF!</v>
      </c>
      <c r="E26" s="14" t="e">
        <f>+Shepparton!#REF!</f>
        <v>#REF!</v>
      </c>
    </row>
    <row r="27" spans="2:5" hidden="1">
      <c r="B27" t="str">
        <f>+Lifestyle!A48</f>
        <v>Cambridge 24</v>
      </c>
      <c r="C27" s="15">
        <f>+Lifestyle!BS48</f>
        <v>0</v>
      </c>
      <c r="D27" s="14" t="e">
        <f>+Shepparton!#REF!</f>
        <v>#REF!</v>
      </c>
      <c r="E27" s="14" t="e">
        <f>+Shepparton!#REF!</f>
        <v>#REF!</v>
      </c>
    </row>
    <row r="28" spans="2:5" hidden="1">
      <c r="B28" t="str">
        <f>+Lifestyle!A49</f>
        <v>Cambridge 26</v>
      </c>
      <c r="C28" s="15">
        <f>+Lifestyle!BS49</f>
        <v>0</v>
      </c>
      <c r="D28" s="14" t="e">
        <f>+Shepparton!#REF!</f>
        <v>#REF!</v>
      </c>
      <c r="E28" s="14" t="e">
        <f>+Shepparton!#REF!</f>
        <v>#REF!</v>
      </c>
    </row>
    <row r="29" spans="2:5" hidden="1">
      <c r="B29" t="str">
        <f>+Lifestyle!A50</f>
        <v>Cambridge 30</v>
      </c>
      <c r="C29" s="15">
        <f>+Lifestyle!BS50</f>
        <v>0</v>
      </c>
      <c r="D29" s="14" t="e">
        <f>+Shepparton!#REF!</f>
        <v>#REF!</v>
      </c>
      <c r="E29" s="14" t="e">
        <f>+Shepparton!#REF!</f>
        <v>#REF!</v>
      </c>
    </row>
    <row r="30" spans="2:5" hidden="1">
      <c r="B30" t="str">
        <f>+Lifestyle!A51</f>
        <v>Duneed 22</v>
      </c>
      <c r="C30" s="15">
        <f>+Lifestyle!BS51</f>
        <v>0</v>
      </c>
      <c r="D30" s="14" t="e">
        <f>+Shepparton!#REF!</f>
        <v>#REF!</v>
      </c>
      <c r="E30" s="14" t="e">
        <f>+Shepparton!#REF!</f>
        <v>#REF!</v>
      </c>
    </row>
    <row r="31" spans="2:5" hidden="1">
      <c r="B31" t="str">
        <f>+Lifestyle!A52</f>
        <v>Duneed 23</v>
      </c>
      <c r="C31" s="15">
        <f>+Lifestyle!BS52</f>
        <v>0</v>
      </c>
      <c r="D31" s="14" t="e">
        <f>+Shepparton!#REF!</f>
        <v>#REF!</v>
      </c>
      <c r="E31" s="14" t="e">
        <f>+Shepparton!#REF!</f>
        <v>#REF!</v>
      </c>
    </row>
    <row r="32" spans="2:5" hidden="1">
      <c r="B32" t="str">
        <f>+Lifestyle!A53</f>
        <v>Duneed 24</v>
      </c>
      <c r="C32" s="15">
        <f>+Lifestyle!BS53</f>
        <v>0</v>
      </c>
      <c r="D32" s="14" t="e">
        <f>+Shepparton!#REF!</f>
        <v>#REF!</v>
      </c>
      <c r="E32" s="14" t="e">
        <f>+Shepparton!#REF!</f>
        <v>#REF!</v>
      </c>
    </row>
    <row r="33" spans="2:5" hidden="1">
      <c r="B33" t="str">
        <f>+Lifestyle!A54</f>
        <v>Duneed 25</v>
      </c>
      <c r="C33" s="15">
        <f>+Lifestyle!BS54</f>
        <v>0</v>
      </c>
      <c r="D33" s="14" t="e">
        <f>+Shepparton!#REF!</f>
        <v>#REF!</v>
      </c>
      <c r="E33" s="14" t="e">
        <f>+Shepparton!#REF!</f>
        <v>#REF!</v>
      </c>
    </row>
    <row r="34" spans="2:5" hidden="1">
      <c r="B34" t="str">
        <f>+Lifestyle!A55</f>
        <v>Duneed 30</v>
      </c>
      <c r="C34" s="15">
        <f>+Lifestyle!BS55</f>
        <v>0</v>
      </c>
      <c r="D34" s="14" t="e">
        <f>+Shepparton!#REF!</f>
        <v>#REF!</v>
      </c>
      <c r="E34" s="14" t="e">
        <f>+Shepparton!#REF!</f>
        <v>#REF!</v>
      </c>
    </row>
    <row r="35" spans="2:5" hidden="1">
      <c r="B35" t="str">
        <f>+Lifestyle!A56</f>
        <v>Eclipse 23</v>
      </c>
      <c r="C35" s="15">
        <f>+Lifestyle!BS56</f>
        <v>0</v>
      </c>
      <c r="D35" s="14" t="e">
        <f>+Shepparton!#REF!</f>
        <v>#REF!</v>
      </c>
      <c r="E35" s="14" t="e">
        <f>+Shepparton!#REF!</f>
        <v>#REF!</v>
      </c>
    </row>
    <row r="36" spans="2:5" hidden="1">
      <c r="B36" t="str">
        <f>+Lifestyle!A57</f>
        <v>Eclipse 26</v>
      </c>
      <c r="C36" s="15">
        <f>+Lifestyle!BS57</f>
        <v>0</v>
      </c>
      <c r="D36" s="14" t="e">
        <f>+Shepparton!#REF!</f>
        <v>#REF!</v>
      </c>
      <c r="E36" s="14" t="e">
        <f>+Shepparton!#REF!</f>
        <v>#REF!</v>
      </c>
    </row>
    <row r="37" spans="2:5" hidden="1">
      <c r="B37" t="str">
        <f>+Lifestyle!A58</f>
        <v>Eclipse 28</v>
      </c>
      <c r="C37" s="15">
        <f>+Lifestyle!BS58</f>
        <v>0</v>
      </c>
      <c r="D37" s="14" t="e">
        <f>+Shepparton!#REF!</f>
        <v>#REF!</v>
      </c>
      <c r="E37" s="14" t="e">
        <f>+Shepparton!#REF!</f>
        <v>#REF!</v>
      </c>
    </row>
    <row r="38" spans="2:5" hidden="1">
      <c r="B38" t="str">
        <f>+Lifestyle!A59</f>
        <v>Hamilton 24</v>
      </c>
      <c r="C38" s="15">
        <f>+Lifestyle!BS59</f>
        <v>0</v>
      </c>
      <c r="D38" s="14" t="e">
        <f>+Shepparton!#REF!</f>
        <v>#REF!</v>
      </c>
      <c r="E38" s="14" t="e">
        <f>+Shepparton!#REF!</f>
        <v>#REF!</v>
      </c>
    </row>
    <row r="39" spans="2:5" hidden="1">
      <c r="B39" t="str">
        <f>+Lifestyle!A60</f>
        <v>Hamilton 29</v>
      </c>
      <c r="C39" s="15">
        <f>+Lifestyle!BS60</f>
        <v>0</v>
      </c>
      <c r="D39" s="14" t="e">
        <f>+Shepparton!#REF!</f>
        <v>#REF!</v>
      </c>
      <c r="E39" s="14" t="e">
        <f>+Shepparton!#REF!</f>
        <v>#REF!</v>
      </c>
    </row>
    <row r="40" spans="2:5" hidden="1">
      <c r="B40" t="str">
        <f>+Lifestyle!A61</f>
        <v>Hamilton 34</v>
      </c>
      <c r="C40" s="15">
        <f>+Lifestyle!BS61</f>
        <v>0</v>
      </c>
      <c r="D40" s="14" t="e">
        <f>+Shepparton!#REF!</f>
        <v>#REF!</v>
      </c>
      <c r="E40" s="14" t="e">
        <f>+Shepparton!#REF!</f>
        <v>#REF!</v>
      </c>
    </row>
    <row r="41" spans="2:5" hidden="1">
      <c r="B41" t="str">
        <f>+Lifestyle!A62</f>
        <v>Launceston 21</v>
      </c>
      <c r="C41" s="15">
        <f>+Lifestyle!BS62</f>
        <v>0</v>
      </c>
      <c r="D41" s="14" t="e">
        <f>+Shepparton!#REF!</f>
        <v>#REF!</v>
      </c>
      <c r="E41" s="14" t="e">
        <f>+Shepparton!#REF!</f>
        <v>#REF!</v>
      </c>
    </row>
    <row r="42" spans="2:5" hidden="1">
      <c r="B42" t="str">
        <f>+Lifestyle!A63</f>
        <v>Launceston 22</v>
      </c>
      <c r="C42" s="15">
        <f>+Lifestyle!BS63</f>
        <v>0</v>
      </c>
      <c r="D42" s="14" t="e">
        <f>+Shepparton!#REF!</f>
        <v>#REF!</v>
      </c>
      <c r="E42" s="14" t="e">
        <f>+Shepparton!#REF!</f>
        <v>#REF!</v>
      </c>
    </row>
    <row r="43" spans="2:5" hidden="1">
      <c r="B43" t="str">
        <f>+Lifestyle!A64</f>
        <v>Launceston 24</v>
      </c>
      <c r="C43" s="15">
        <f>+Lifestyle!BS64</f>
        <v>0</v>
      </c>
      <c r="D43" s="14" t="e">
        <f>+Shepparton!#REF!</f>
        <v>#REF!</v>
      </c>
      <c r="E43" s="14" t="e">
        <f>+Shepparton!#REF!</f>
        <v>#REF!</v>
      </c>
    </row>
    <row r="44" spans="2:5" hidden="1">
      <c r="B44" t="str">
        <f>+Lifestyle!A65</f>
        <v>Manly 20</v>
      </c>
      <c r="C44" s="15">
        <f>+Lifestyle!BS65</f>
        <v>0</v>
      </c>
      <c r="D44" s="14" t="e">
        <f>+Shepparton!#REF!</f>
        <v>#REF!</v>
      </c>
      <c r="E44" s="14" t="e">
        <f>+Shepparton!#REF!</f>
        <v>#REF!</v>
      </c>
    </row>
    <row r="45" spans="2:5" hidden="1">
      <c r="B45" t="str">
        <f>+Lifestyle!A66</f>
        <v>Manly 22</v>
      </c>
      <c r="C45" s="15">
        <f>+Lifestyle!BS66</f>
        <v>0</v>
      </c>
      <c r="D45" s="14" t="e">
        <f>+Shepparton!#REF!</f>
        <v>#REF!</v>
      </c>
      <c r="E45" s="14" t="e">
        <f>+Shepparton!#REF!</f>
        <v>#REF!</v>
      </c>
    </row>
    <row r="46" spans="2:5" hidden="1">
      <c r="B46" t="str">
        <f>+Lifestyle!A67</f>
        <v>Manly 24</v>
      </c>
      <c r="C46" s="15">
        <f>+Lifestyle!BS67</f>
        <v>0</v>
      </c>
      <c r="D46" s="14" t="e">
        <f>+Shepparton!#REF!</f>
        <v>#REF!</v>
      </c>
      <c r="E46" s="14" t="e">
        <f>+Shepparton!#REF!</f>
        <v>#REF!</v>
      </c>
    </row>
    <row r="47" spans="2:5" hidden="1">
      <c r="B47" t="str">
        <f>+Lifestyle!A68</f>
        <v>Manly 25</v>
      </c>
      <c r="C47" s="15">
        <f>+Lifestyle!BS68</f>
        <v>0</v>
      </c>
      <c r="D47" s="14" t="e">
        <f>+Shepparton!#REF!</f>
        <v>#REF!</v>
      </c>
      <c r="E47" s="14" t="e">
        <f>+Shepparton!#REF!</f>
        <v>#REF!</v>
      </c>
    </row>
    <row r="48" spans="2:5" hidden="1">
      <c r="B48" t="str">
        <f>+Lifestyle!A69</f>
        <v>Manly 30</v>
      </c>
      <c r="C48" s="15">
        <f>+Lifestyle!BS69</f>
        <v>0</v>
      </c>
      <c r="D48" s="14" t="e">
        <f>+Shepparton!#REF!</f>
        <v>#REF!</v>
      </c>
      <c r="E48" s="14" t="e">
        <f>+Shepparton!#REF!</f>
        <v>#REF!</v>
      </c>
    </row>
    <row r="49" spans="2:5" hidden="1">
      <c r="B49" t="str">
        <f>+Lifestyle!A70</f>
        <v>Manly 36</v>
      </c>
      <c r="C49" s="15">
        <f>+Lifestyle!BS70</f>
        <v>0</v>
      </c>
      <c r="D49" s="14" t="e">
        <f>+Shepparton!#REF!</f>
        <v>#REF!</v>
      </c>
      <c r="E49" s="14" t="e">
        <f>+Shepparton!#REF!</f>
        <v>#REF!</v>
      </c>
    </row>
    <row r="50" spans="2:5" hidden="1">
      <c r="B50" t="str">
        <f>+Lifestyle!A71</f>
        <v>Parkdale 24</v>
      </c>
      <c r="C50" s="15">
        <f>+Lifestyle!BS71</f>
        <v>0</v>
      </c>
      <c r="D50" s="14" t="e">
        <f>+Shepparton!#REF!</f>
        <v>#REF!</v>
      </c>
      <c r="E50" s="14" t="e">
        <f>+Shepparton!#REF!</f>
        <v>#REF!</v>
      </c>
    </row>
    <row r="51" spans="2:5" hidden="1">
      <c r="B51" t="str">
        <f>+Lifestyle!A72</f>
        <v>Parkdale 30</v>
      </c>
      <c r="C51" s="15">
        <f>+Lifestyle!BS72</f>
        <v>0</v>
      </c>
      <c r="D51" s="14" t="e">
        <f>+Shepparton!#REF!</f>
        <v>#REF!</v>
      </c>
      <c r="E51" s="14" t="e">
        <f>+Shepparton!#REF!</f>
        <v>#REF!</v>
      </c>
    </row>
    <row r="52" spans="2:5" hidden="1">
      <c r="B52" t="str">
        <f>+Lifestyle!A73</f>
        <v>Parkdale 33</v>
      </c>
      <c r="C52" s="15">
        <f>+Lifestyle!BS73</f>
        <v>0</v>
      </c>
      <c r="D52" s="14" t="e">
        <f>+Shepparton!#REF!</f>
        <v>#REF!</v>
      </c>
      <c r="E52" s="14" t="e">
        <f>+Shepparton!#REF!</f>
        <v>#REF!</v>
      </c>
    </row>
    <row r="53" spans="2:5" hidden="1">
      <c r="B53" t="str">
        <f>+Lifestyle!A74</f>
        <v>Parkview 24 - 3 Bed</v>
      </c>
      <c r="C53" s="15">
        <f>+Lifestyle!BS74</f>
        <v>0</v>
      </c>
      <c r="D53" s="14" t="e">
        <f>+Shepparton!#REF!</f>
        <v>#REF!</v>
      </c>
      <c r="E53" s="14" t="e">
        <f>+Shepparton!#REF!</f>
        <v>#REF!</v>
      </c>
    </row>
    <row r="54" spans="2:5" hidden="1">
      <c r="B54" t="str">
        <f>+Lifestyle!A75</f>
        <v>Parkview 24 - 4 Bed</v>
      </c>
      <c r="C54" s="15">
        <f>+Lifestyle!BS75</f>
        <v>0</v>
      </c>
      <c r="D54" s="14" t="e">
        <f>+Shepparton!#REF!</f>
        <v>#REF!</v>
      </c>
      <c r="E54" s="14" t="e">
        <f>+Shepparton!#REF!</f>
        <v>#REF!</v>
      </c>
    </row>
    <row r="55" spans="2:5" hidden="1">
      <c r="B55" t="str">
        <f>+Lifestyle!A76</f>
        <v>Parkview 26</v>
      </c>
      <c r="C55" s="15">
        <f>+Lifestyle!BS76</f>
        <v>0</v>
      </c>
      <c r="D55" s="14" t="e">
        <f>+Shepparton!#REF!</f>
        <v>#REF!</v>
      </c>
      <c r="E55" s="14" t="e">
        <f>+Shepparton!#REF!</f>
        <v>#REF!</v>
      </c>
    </row>
    <row r="56" spans="2:5" hidden="1">
      <c r="B56" t="str">
        <f>+Lifestyle!A77</f>
        <v>Parkview 28</v>
      </c>
      <c r="C56" s="15">
        <f>+Lifestyle!BS77</f>
        <v>0</v>
      </c>
      <c r="D56" s="14" t="e">
        <f>+Shepparton!#REF!</f>
        <v>#REF!</v>
      </c>
      <c r="E56" s="14" t="e">
        <f>+Shepparton!#REF!</f>
        <v>#REF!</v>
      </c>
    </row>
    <row r="57" spans="2:5" hidden="1">
      <c r="B57" t="str">
        <f>+Lifestyle!A78</f>
        <v>Parkview 30</v>
      </c>
      <c r="C57" s="15">
        <f>+Lifestyle!BS78</f>
        <v>0</v>
      </c>
      <c r="D57" s="14" t="e">
        <f>+Shepparton!#REF!</f>
        <v>#REF!</v>
      </c>
      <c r="E57" s="14" t="e">
        <f>+Shepparton!#REF!</f>
        <v>#REF!</v>
      </c>
    </row>
    <row r="58" spans="2:5" hidden="1">
      <c r="B58" t="str">
        <f>+Lifestyle!A79</f>
        <v>Parkview 31</v>
      </c>
      <c r="C58" s="15">
        <f>+Lifestyle!BS79</f>
        <v>0</v>
      </c>
      <c r="D58" s="14" t="e">
        <f>+Shepparton!#REF!</f>
        <v>#REF!</v>
      </c>
      <c r="E58" s="14" t="e">
        <f>+Shepparton!#REF!</f>
        <v>#REF!</v>
      </c>
    </row>
    <row r="59" spans="2:5" hidden="1">
      <c r="B59" t="str">
        <f>+Lifestyle!A80</f>
        <v>Santa Barbara 20</v>
      </c>
      <c r="C59" s="15">
        <f>+Lifestyle!BS80</f>
        <v>0</v>
      </c>
      <c r="D59" s="14" t="e">
        <f>+Shepparton!#REF!</f>
        <v>#REF!</v>
      </c>
      <c r="E59" s="14" t="e">
        <f>+Shepparton!#REF!</f>
        <v>#REF!</v>
      </c>
    </row>
    <row r="60" spans="2:5" hidden="1">
      <c r="B60" t="str">
        <f>+Lifestyle!A81</f>
        <v>Santa Barbara 22</v>
      </c>
      <c r="C60" s="15">
        <f>+Lifestyle!BS81</f>
        <v>0</v>
      </c>
      <c r="D60" s="14" t="e">
        <f>+Shepparton!#REF!</f>
        <v>#REF!</v>
      </c>
      <c r="E60" s="14" t="e">
        <f>+Shepparton!#REF!</f>
        <v>#REF!</v>
      </c>
    </row>
    <row r="61" spans="2:5" hidden="1">
      <c r="B61" t="str">
        <f>+Lifestyle!A82</f>
        <v>Santa Barbara 25</v>
      </c>
      <c r="C61" s="15">
        <f>+Lifestyle!BS82</f>
        <v>0</v>
      </c>
      <c r="D61" s="14" t="e">
        <f>+Shepparton!#REF!</f>
        <v>#REF!</v>
      </c>
      <c r="E61" s="14" t="e">
        <f>+Shepparton!#REF!</f>
        <v>#REF!</v>
      </c>
    </row>
    <row r="62" spans="2:5" hidden="1">
      <c r="B62" t="str">
        <f>+Lifestyle!A83</f>
        <v>Santa Barbara 26</v>
      </c>
      <c r="C62" s="15">
        <f>+Lifestyle!BS83</f>
        <v>0</v>
      </c>
      <c r="D62" s="14" t="e">
        <f>+Shepparton!#REF!</f>
        <v>#REF!</v>
      </c>
      <c r="E62" s="14" t="e">
        <f>+Shepparton!#REF!</f>
        <v>#REF!</v>
      </c>
    </row>
    <row r="63" spans="2:5" hidden="1">
      <c r="B63" t="str">
        <f>+Lifestyle!A88</f>
        <v>Inglewood 29</v>
      </c>
      <c r="C63" s="15">
        <f>+Lifestyle!BS88</f>
        <v>0</v>
      </c>
      <c r="D63" s="14" t="e">
        <f>+Shepparton!#REF!</f>
        <v>#REF!</v>
      </c>
      <c r="E63" s="14" t="e">
        <f>+Shepparton!#REF!</f>
        <v>#REF!</v>
      </c>
    </row>
    <row r="64" spans="2:5" hidden="1">
      <c r="B64" t="str">
        <f>+Lifestyle!A89</f>
        <v>Inglewood 31</v>
      </c>
      <c r="C64" s="15">
        <f>+Lifestyle!BS89</f>
        <v>0</v>
      </c>
      <c r="D64" s="14" t="e">
        <f>+Shepparton!#REF!</f>
        <v>#REF!</v>
      </c>
      <c r="E64" s="14" t="e">
        <f>+Shepparton!#REF!</f>
        <v>#REF!</v>
      </c>
    </row>
    <row r="65" spans="2:5" hidden="1">
      <c r="B65" t="str">
        <f>+Lifestyle!A90</f>
        <v>Inglewood 34</v>
      </c>
      <c r="C65" s="15">
        <f>+Lifestyle!BS90</f>
        <v>0</v>
      </c>
      <c r="D65" s="14" t="e">
        <f>+Shepparton!#REF!</f>
        <v>#REF!</v>
      </c>
      <c r="E65" s="14" t="e">
        <f>+Shepparton!#REF!</f>
        <v>#REF!</v>
      </c>
    </row>
    <row r="66" spans="2:5" hidden="1">
      <c r="B66" t="str">
        <f>+Lifestyle!A91</f>
        <v>Inglewood 35</v>
      </c>
      <c r="C66" s="15">
        <f>+Lifestyle!BS91</f>
        <v>0</v>
      </c>
      <c r="D66" s="14" t="e">
        <f>+Shepparton!#REF!</f>
        <v>#REF!</v>
      </c>
      <c r="E66" s="14" t="e">
        <f>+Shepparton!#REF!</f>
        <v>#REF!</v>
      </c>
    </row>
    <row r="67" spans="2:5" hidden="1">
      <c r="B67" t="str">
        <f>+Lifestyle!A92</f>
        <v>Inglewood 38</v>
      </c>
      <c r="C67" s="15">
        <f>+Lifestyle!BS92</f>
        <v>0</v>
      </c>
      <c r="D67" s="14" t="e">
        <f>+Shepparton!#REF!</f>
        <v>#REF!</v>
      </c>
      <c r="E67" s="14" t="e">
        <f>+Shepparton!#REF!</f>
        <v>#REF!</v>
      </c>
    </row>
    <row r="68" spans="2:5" hidden="1">
      <c r="B68" t="str">
        <f>+Lifestyle!A94</f>
        <v>Maldon 27</v>
      </c>
      <c r="C68" s="15">
        <f>+Lifestyle!BS94</f>
        <v>0</v>
      </c>
      <c r="D68" s="14" t="e">
        <f>+Shepparton!#REF!</f>
        <v>#REF!</v>
      </c>
      <c r="E68" s="14" t="e">
        <f>+Shepparton!#REF!</f>
        <v>#REF!</v>
      </c>
    </row>
    <row r="69" spans="2:5" hidden="1">
      <c r="B69" t="str">
        <f>+Lifestyle!A96</f>
        <v>Palmerston 28</v>
      </c>
      <c r="C69" s="15">
        <f>+Lifestyle!BS96</f>
        <v>0</v>
      </c>
      <c r="D69" s="14" t="e">
        <f>+Shepparton!#REF!</f>
        <v>#REF!</v>
      </c>
      <c r="E69" s="14" t="e">
        <f>+Shepparton!#REF!</f>
        <v>#REF!</v>
      </c>
    </row>
    <row r="70" spans="2:5" hidden="1">
      <c r="B70" t="str">
        <f>+Lifestyle!A97</f>
        <v>Palmerston 35</v>
      </c>
      <c r="C70" s="15">
        <f>+Lifestyle!BS97</f>
        <v>0</v>
      </c>
      <c r="D70" s="14" t="e">
        <f>+Shepparton!#REF!</f>
        <v>#REF!</v>
      </c>
      <c r="E70" s="14" t="e">
        <f>+Shepparton!#REF!</f>
        <v>#REF!</v>
      </c>
    </row>
    <row r="71" spans="2:5" hidden="1">
      <c r="B71" t="str">
        <f>+Lifestyle!A98</f>
        <v>Sandown 23</v>
      </c>
      <c r="C71" s="15">
        <f>+Lifestyle!BS98</f>
        <v>0</v>
      </c>
      <c r="D71" s="14" t="e">
        <f>+Shepparton!#REF!</f>
        <v>#REF!</v>
      </c>
      <c r="E71" s="14" t="e">
        <f>+Shepparton!#REF!</f>
        <v>#REF!</v>
      </c>
    </row>
    <row r="72" spans="2:5" hidden="1">
      <c r="B72" t="str">
        <f>+Lifestyle!A99</f>
        <v>Sandown 26</v>
      </c>
      <c r="C72" s="15">
        <f>+Lifestyle!BS99</f>
        <v>0</v>
      </c>
      <c r="D72" s="14" t="e">
        <f>+Shepparton!#REF!</f>
        <v>#REF!</v>
      </c>
      <c r="E72" s="14" t="e">
        <f>+Shepparton!#REF!</f>
        <v>#REF!</v>
      </c>
    </row>
    <row r="73" spans="2:5" hidden="1">
      <c r="B73" t="str">
        <f>+Lifestyle!A100</f>
        <v>Sandown 28 (30)</v>
      </c>
      <c r="C73" s="15">
        <f>+Lifestyle!BS100</f>
        <v>0</v>
      </c>
      <c r="D73" s="14" t="e">
        <f>+Shepparton!#REF!</f>
        <v>#REF!</v>
      </c>
      <c r="E73" s="14" t="e">
        <f>+Shepparton!#REF!</f>
        <v>#REF!</v>
      </c>
    </row>
    <row r="74" spans="2:5" hidden="1">
      <c r="B74" t="str">
        <f>+Lifestyle!A101</f>
        <v>Sandown 32</v>
      </c>
      <c r="C74" s="15">
        <f>+Lifestyle!BS101</f>
        <v>0</v>
      </c>
      <c r="D74" s="14" t="e">
        <f>+Shepparton!#REF!</f>
        <v>#REF!</v>
      </c>
      <c r="E74" s="14" t="e">
        <f>+Shepparton!#REF!</f>
        <v>#REF!</v>
      </c>
    </row>
    <row r="75" spans="2:5" hidden="1">
      <c r="B75" t="str">
        <f>+Lifestyle!A105</f>
        <v>Winton 24</v>
      </c>
      <c r="C75" s="15">
        <f>+Lifestyle!BS105</f>
        <v>0</v>
      </c>
      <c r="D75" s="14" t="e">
        <f>+Shepparton!#REF!</f>
        <v>#REF!</v>
      </c>
      <c r="E75" s="14" t="e">
        <f>+Shepparton!#REF!</f>
        <v>#REF!</v>
      </c>
    </row>
    <row r="76" spans="2:5" hidden="1">
      <c r="B76" t="str">
        <f>+Lifestyle!A106</f>
        <v>Winton 28</v>
      </c>
      <c r="C76" s="15">
        <f>+Lifestyle!BS106</f>
        <v>0</v>
      </c>
      <c r="D76" s="14" t="e">
        <f>+Shepparton!#REF!</f>
        <v>#REF!</v>
      </c>
      <c r="E76" s="14" t="e">
        <f>+Shepparton!#REF!</f>
        <v>#REF!</v>
      </c>
    </row>
    <row r="77" spans="2:5" hidden="1">
      <c r="B77" t="str">
        <f>+Lifestyle!A107</f>
        <v>Winton 32</v>
      </c>
      <c r="C77" s="15">
        <f>+Lifestyle!BS107</f>
        <v>0</v>
      </c>
      <c r="D77" s="14" t="e">
        <f>+Shepparton!#REF!</f>
        <v>#REF!</v>
      </c>
      <c r="E77" s="14" t="e">
        <f>+Shepparton!#REF!</f>
        <v>#REF!</v>
      </c>
    </row>
    <row r="78" spans="2:5" hidden="1">
      <c r="B78" t="str">
        <f>+Lifestyle!A110</f>
        <v>Albany 17</v>
      </c>
      <c r="C78" s="15">
        <f>+Lifestyle!BS110</f>
        <v>0</v>
      </c>
      <c r="D78" s="14" t="e">
        <f>+Shepparton!#REF!</f>
        <v>#REF!</v>
      </c>
      <c r="E78" s="14" t="e">
        <f>+Shepparton!#REF!</f>
        <v>#REF!</v>
      </c>
    </row>
    <row r="79" spans="2:5" hidden="1">
      <c r="B79" t="str">
        <f>+Lifestyle!A111</f>
        <v>Albany 18</v>
      </c>
      <c r="C79" s="15">
        <f>+Lifestyle!BS111</f>
        <v>0</v>
      </c>
      <c r="D79" s="14" t="e">
        <f>+Shepparton!#REF!</f>
        <v>#REF!</v>
      </c>
      <c r="E79" s="14" t="e">
        <f>+Shepparton!#REF!</f>
        <v>#REF!</v>
      </c>
    </row>
    <row r="80" spans="2:5" hidden="1">
      <c r="B80" t="str">
        <f>+Lifestyle!A112</f>
        <v>Albany 20</v>
      </c>
      <c r="C80" s="15">
        <f>+Lifestyle!BS112</f>
        <v>0</v>
      </c>
      <c r="D80" s="14" t="e">
        <f>+Shepparton!#REF!</f>
        <v>#REF!</v>
      </c>
      <c r="E80" s="14" t="e">
        <f>+Shepparton!#REF!</f>
        <v>#REF!</v>
      </c>
    </row>
    <row r="81" spans="2:5" hidden="1">
      <c r="B81" t="str">
        <f>+Lifestyle!A113</f>
        <v>Avoca 16</v>
      </c>
      <c r="C81" s="15">
        <f>+Lifestyle!BS113</f>
        <v>0</v>
      </c>
      <c r="D81" s="14" t="e">
        <f>+Shepparton!#REF!</f>
        <v>#REF!</v>
      </c>
      <c r="E81" s="14" t="e">
        <f>+Shepparton!#REF!</f>
        <v>#REF!</v>
      </c>
    </row>
    <row r="82" spans="2:5" hidden="1">
      <c r="B82" t="str">
        <f>+Lifestyle!A114</f>
        <v>Avoca 19</v>
      </c>
      <c r="C82" s="15">
        <f>+Lifestyle!BS114</f>
        <v>0</v>
      </c>
      <c r="D82" s="14" t="e">
        <f>+Shepparton!#REF!</f>
        <v>#REF!</v>
      </c>
      <c r="E82" s="14" t="e">
        <f>+Shepparton!#REF!</f>
        <v>#REF!</v>
      </c>
    </row>
    <row r="83" spans="2:5" hidden="1">
      <c r="B83" t="str">
        <f>+Lifestyle!A115</f>
        <v>Avoca 20</v>
      </c>
      <c r="C83" s="15">
        <f>+Lifestyle!BS115</f>
        <v>0</v>
      </c>
      <c r="D83" s="14" t="e">
        <f>+Shepparton!#REF!</f>
        <v>#REF!</v>
      </c>
      <c r="E83" s="14" t="e">
        <f>+Shepparton!#REF!</f>
        <v>#REF!</v>
      </c>
    </row>
    <row r="84" spans="2:5" hidden="1">
      <c r="B84" t="str">
        <f>+Lifestyle!A116</f>
        <v>Belinda 16</v>
      </c>
      <c r="C84" s="15">
        <f>+Lifestyle!BS116</f>
        <v>0</v>
      </c>
      <c r="D84" s="14" t="e">
        <f>+Shepparton!#REF!</f>
        <v>#REF!</v>
      </c>
      <c r="E84" s="14" t="e">
        <f>+Shepparton!#REF!</f>
        <v>#REF!</v>
      </c>
    </row>
    <row r="85" spans="2:5" hidden="1">
      <c r="B85" t="str">
        <f>+Lifestyle!A117</f>
        <v>Belinda 18</v>
      </c>
      <c r="C85" s="15">
        <f>+Lifestyle!BS117</f>
        <v>0</v>
      </c>
      <c r="D85" s="14" t="e">
        <f>+Shepparton!#REF!</f>
        <v>#REF!</v>
      </c>
      <c r="E85" s="14" t="e">
        <f>+Shepparton!#REF!</f>
        <v>#REF!</v>
      </c>
    </row>
    <row r="86" spans="2:5" hidden="1">
      <c r="B86" t="str">
        <f>+Lifestyle!A118</f>
        <v>Belinda 20</v>
      </c>
      <c r="C86" s="15">
        <f>+Lifestyle!BS118</f>
        <v>0</v>
      </c>
      <c r="D86" s="14" t="e">
        <f>+Shepparton!#REF!</f>
        <v>#REF!</v>
      </c>
      <c r="E86" s="14" t="e">
        <f>+Shepparton!#REF!</f>
        <v>#REF!</v>
      </c>
    </row>
    <row r="87" spans="2:5" hidden="1">
      <c r="B87" t="str">
        <f>+Lifestyle!A119</f>
        <v>Fairfield 18</v>
      </c>
      <c r="C87" s="15">
        <f>+Lifestyle!BS119</f>
        <v>0</v>
      </c>
      <c r="D87" s="14" t="e">
        <f>+Shepparton!#REF!</f>
        <v>#REF!</v>
      </c>
      <c r="E87" s="14" t="e">
        <f>+Shepparton!#REF!</f>
        <v>#REF!</v>
      </c>
    </row>
    <row r="88" spans="2:5" hidden="1">
      <c r="B88" t="str">
        <f>+Lifestyle!A120</f>
        <v>Fairfield 19</v>
      </c>
      <c r="C88" s="15">
        <f>+Lifestyle!BS120</f>
        <v>0</v>
      </c>
      <c r="D88" s="14" t="e">
        <f>+Shepparton!#REF!</f>
        <v>#REF!</v>
      </c>
      <c r="E88" s="14" t="e">
        <f>+Shepparton!#REF!</f>
        <v>#REF!</v>
      </c>
    </row>
    <row r="89" spans="2:5" hidden="1">
      <c r="B89" t="str">
        <f>+Lifestyle!A121</f>
        <v>Fairfield 20</v>
      </c>
      <c r="C89" s="15">
        <f>+Lifestyle!BS121</f>
        <v>0</v>
      </c>
      <c r="D89" s="14" t="e">
        <f>+Shepparton!#REF!</f>
        <v>#REF!</v>
      </c>
      <c r="E89" s="14" t="e">
        <f>+Shepparton!#REF!</f>
        <v>#REF!</v>
      </c>
    </row>
    <row r="90" spans="2:5" hidden="1">
      <c r="B90" t="str">
        <f>+Lifestyle!A122</f>
        <v>Launceston 21</v>
      </c>
      <c r="C90" s="15">
        <f>+Lifestyle!BS122</f>
        <v>0</v>
      </c>
      <c r="D90" s="14" t="e">
        <f>+Shepparton!#REF!</f>
        <v>#REF!</v>
      </c>
      <c r="E90" s="14" t="e">
        <f>+Shepparton!#REF!</f>
        <v>#REF!</v>
      </c>
    </row>
    <row r="91" spans="2:5" hidden="1">
      <c r="B91" t="str">
        <f>+Lifestyle!A123</f>
        <v>Melrose 19</v>
      </c>
      <c r="C91" s="15">
        <f>+Lifestyle!BS123</f>
        <v>0</v>
      </c>
      <c r="D91" s="14" t="e">
        <f>+Shepparton!#REF!</f>
        <v>#REF!</v>
      </c>
      <c r="E91" s="14" t="e">
        <f>+Shepparton!#REF!</f>
        <v>#REF!</v>
      </c>
    </row>
    <row r="92" spans="2:5" hidden="1">
      <c r="B92" t="str">
        <f>+Lifestyle!A124</f>
        <v>Stratford 16A</v>
      </c>
      <c r="C92" s="15">
        <f>+Lifestyle!BS124</f>
        <v>0</v>
      </c>
      <c r="D92" s="14" t="e">
        <f>+Shepparton!#REF!</f>
        <v>#REF!</v>
      </c>
      <c r="E92" s="14" t="e">
        <f>+Shepparton!#REF!</f>
        <v>#REF!</v>
      </c>
    </row>
    <row r="93" spans="2:5" hidden="1">
      <c r="B93" t="str">
        <f>+Lifestyle!A125</f>
        <v>Stratford 16B</v>
      </c>
      <c r="C93" s="15">
        <f>+Lifestyle!BS125</f>
        <v>0</v>
      </c>
      <c r="D93" s="14" t="e">
        <f>+Shepparton!#REF!</f>
        <v>#REF!</v>
      </c>
      <c r="E93" s="14" t="e">
        <f>+Shepparton!#REF!</f>
        <v>#REF!</v>
      </c>
    </row>
    <row r="94" spans="2:5" hidden="1">
      <c r="B94" t="str">
        <f>+Lifestyle!A129</f>
        <v>Belmont 22A</v>
      </c>
      <c r="C94" s="15">
        <f>+Lifestyle!BS129</f>
        <v>0</v>
      </c>
      <c r="D94" s="14" t="e">
        <f>+Shepparton!#REF!</f>
        <v>#REF!</v>
      </c>
      <c r="E94" s="14" t="e">
        <f>+Shepparton!#REF!</f>
        <v>#REF!</v>
      </c>
    </row>
    <row r="95" spans="2:5" hidden="1">
      <c r="B95" t="str">
        <f>+Lifestyle!A130</f>
        <v>Belmont 22B</v>
      </c>
      <c r="C95" s="15">
        <f>+Lifestyle!BS130</f>
        <v>0</v>
      </c>
      <c r="D95" s="14" t="e">
        <f>+Shepparton!#REF!</f>
        <v>#REF!</v>
      </c>
      <c r="E95" s="14" t="e">
        <f>+Shepparton!#REF!</f>
        <v>#REF!</v>
      </c>
    </row>
    <row r="96" spans="2:5" hidden="1">
      <c r="B96" t="str">
        <f>+Lifestyle!A131</f>
        <v>Belmont 24A</v>
      </c>
      <c r="C96" s="15">
        <f>+Lifestyle!BS131</f>
        <v>0</v>
      </c>
      <c r="D96" s="14" t="e">
        <f>+Shepparton!#REF!</f>
        <v>#REF!</v>
      </c>
      <c r="E96" s="14" t="e">
        <f>+Shepparton!#REF!</f>
        <v>#REF!</v>
      </c>
    </row>
    <row r="97" spans="1:14" hidden="1">
      <c r="B97" t="str">
        <f>+Lifestyle!A132</f>
        <v>Belmont 24B</v>
      </c>
      <c r="C97" s="15">
        <f>+Lifestyle!BS132</f>
        <v>0</v>
      </c>
      <c r="D97" s="14" t="e">
        <f>+Shepparton!#REF!</f>
        <v>#REF!</v>
      </c>
      <c r="E97" s="14" t="e">
        <f>+Shepparton!#REF!</f>
        <v>#REF!</v>
      </c>
    </row>
    <row r="99" spans="1:14" ht="15.75" thickBot="1">
      <c r="B99" t="s">
        <v>132</v>
      </c>
      <c r="D99" s="16">
        <v>1600</v>
      </c>
      <c r="G99" t="s">
        <v>131</v>
      </c>
      <c r="H99" s="16">
        <v>6105</v>
      </c>
      <c r="I99" t="s">
        <v>3</v>
      </c>
      <c r="J99" s="16">
        <v>4160</v>
      </c>
      <c r="L99" s="17" t="s">
        <v>133</v>
      </c>
      <c r="M99" s="17"/>
      <c r="N99" s="17"/>
    </row>
    <row r="101" spans="1:14">
      <c r="C101" t="s">
        <v>134</v>
      </c>
      <c r="D101" s="18" t="s">
        <v>135</v>
      </c>
      <c r="E101" s="18" t="s">
        <v>136</v>
      </c>
      <c r="G101">
        <f>+(D102+D103+D104+D105)*D99+H99+J99</f>
        <v>10265</v>
      </c>
    </row>
    <row r="102" spans="1:14">
      <c r="A102" t="s">
        <v>1102</v>
      </c>
      <c r="B102" t="s">
        <v>137</v>
      </c>
      <c r="C102" t="s">
        <v>138</v>
      </c>
      <c r="F102">
        <f t="shared" ref="F102:F109" si="0">+E102-D102</f>
        <v>0</v>
      </c>
      <c r="G102">
        <f>+IF(F102&gt;0,(F102*'House extension'!D6),0)</f>
        <v>0</v>
      </c>
    </row>
    <row r="103" spans="1:14">
      <c r="A103" t="s">
        <v>1103</v>
      </c>
      <c r="B103" t="s">
        <v>139</v>
      </c>
      <c r="C103" t="s">
        <v>138</v>
      </c>
      <c r="F103">
        <f t="shared" si="0"/>
        <v>0</v>
      </c>
      <c r="G103">
        <f>+IF(F103&gt;0,(F103*'House extension'!D6),0)</f>
        <v>0</v>
      </c>
    </row>
    <row r="104" spans="1:14">
      <c r="A104" t="s">
        <v>1104</v>
      </c>
      <c r="B104" t="s">
        <v>140</v>
      </c>
      <c r="C104" t="s">
        <v>138</v>
      </c>
      <c r="F104">
        <f t="shared" si="0"/>
        <v>0</v>
      </c>
      <c r="G104">
        <f>+IF(F104&gt;0,(F104*'House extension'!D25),0)</f>
        <v>0</v>
      </c>
    </row>
    <row r="105" spans="1:14">
      <c r="A105" t="s">
        <v>1105</v>
      </c>
      <c r="B105" t="s">
        <v>141</v>
      </c>
      <c r="C105" t="s">
        <v>138</v>
      </c>
      <c r="F105">
        <f t="shared" si="0"/>
        <v>0</v>
      </c>
      <c r="G105">
        <f>+IF(F105&gt;0,(F105*'House extension'!D25),0)</f>
        <v>0</v>
      </c>
    </row>
    <row r="106" spans="1:14">
      <c r="B106" t="s">
        <v>142</v>
      </c>
      <c r="C106" t="s">
        <v>143</v>
      </c>
      <c r="F106">
        <f t="shared" si="0"/>
        <v>0</v>
      </c>
      <c r="G106">
        <f>+IF(F106&gt;0,(F106*('House extension'!D26+'House extension'!D29)),0)</f>
        <v>0</v>
      </c>
    </row>
    <row r="107" spans="1:14">
      <c r="B107" t="s">
        <v>144</v>
      </c>
      <c r="C107" t="s">
        <v>143</v>
      </c>
      <c r="F107">
        <f t="shared" si="0"/>
        <v>0</v>
      </c>
      <c r="G107">
        <f>+IF(F107&gt;0,(F107*('House extension'!D26+'House extension'!D29)),0)</f>
        <v>0</v>
      </c>
    </row>
    <row r="108" spans="1:14">
      <c r="A108" t="s">
        <v>1106</v>
      </c>
      <c r="B108" t="s">
        <v>145</v>
      </c>
      <c r="C108" t="s">
        <v>146</v>
      </c>
      <c r="F108">
        <f t="shared" si="0"/>
        <v>0</v>
      </c>
      <c r="G108">
        <f>+IF(F108&gt;0,(F108*'House extension'!D27),0)</f>
        <v>0</v>
      </c>
    </row>
    <row r="109" spans="1:14">
      <c r="B109" t="s">
        <v>147</v>
      </c>
      <c r="C109" t="s">
        <v>146</v>
      </c>
      <c r="F109">
        <f t="shared" si="0"/>
        <v>0</v>
      </c>
      <c r="G109">
        <f>+IF(F109&gt;0,(F109*'House extension'!D37),0)</f>
        <v>0</v>
      </c>
    </row>
    <row r="111" spans="1:14">
      <c r="A111" t="s">
        <v>1107</v>
      </c>
      <c r="B111" t="s">
        <v>4</v>
      </c>
      <c r="C111" t="s">
        <v>143</v>
      </c>
      <c r="F111">
        <f>+E111-D111</f>
        <v>0</v>
      </c>
      <c r="G111">
        <f>+IF(F111&gt;0,(F111*'House extension'!D17),0)</f>
        <v>0</v>
      </c>
    </row>
    <row r="112" spans="1:14">
      <c r="A112" t="s">
        <v>1108</v>
      </c>
      <c r="B112" t="s">
        <v>148</v>
      </c>
      <c r="C112" t="s">
        <v>143</v>
      </c>
      <c r="F112">
        <f>+E112-D112</f>
        <v>0</v>
      </c>
      <c r="G112">
        <f>+IF(F112&gt;0,(F112*'House extension'!D12),0)</f>
        <v>0</v>
      </c>
    </row>
    <row r="113" spans="1:7">
      <c r="A113" t="s">
        <v>1109</v>
      </c>
      <c r="B113" t="s">
        <v>149</v>
      </c>
      <c r="C113" t="s">
        <v>143</v>
      </c>
      <c r="F113">
        <f>+E113-D113</f>
        <v>0</v>
      </c>
      <c r="G113">
        <f>+IF(F113&gt;0,(F113*'House extension'!D13),0)</f>
        <v>0</v>
      </c>
    </row>
    <row r="114" spans="1:7">
      <c r="A114" t="s">
        <v>1110</v>
      </c>
      <c r="B114" t="s">
        <v>150</v>
      </c>
      <c r="C114" t="s">
        <v>143</v>
      </c>
      <c r="F114">
        <f>+E114-D114</f>
        <v>0</v>
      </c>
      <c r="G114">
        <f>+IF(F114&gt;0,(F114*'House extension'!D14),0)</f>
        <v>0</v>
      </c>
    </row>
    <row r="116" spans="1:7">
      <c r="A116" t="s">
        <v>1111</v>
      </c>
      <c r="B116" t="s">
        <v>151</v>
      </c>
      <c r="C116" t="s">
        <v>143</v>
      </c>
      <c r="F116">
        <f>+E116-D116</f>
        <v>0</v>
      </c>
      <c r="G116">
        <f>+IF(F116&gt;0,(F116*'House extension'!D8),0)</f>
        <v>0</v>
      </c>
    </row>
    <row r="117" spans="1:7">
      <c r="A117" t="s">
        <v>1112</v>
      </c>
      <c r="B117" t="s">
        <v>152</v>
      </c>
      <c r="C117" t="s">
        <v>143</v>
      </c>
      <c r="F117">
        <f>+E117-D117</f>
        <v>0</v>
      </c>
      <c r="G117">
        <f>+IF(F117&gt;0,(F117*'House extension'!D9),0)</f>
        <v>0</v>
      </c>
    </row>
    <row r="118" spans="1:7">
      <c r="A118" t="s">
        <v>1113</v>
      </c>
      <c r="B118" t="s">
        <v>153</v>
      </c>
      <c r="C118" t="s">
        <v>143</v>
      </c>
      <c r="F118">
        <f>+E118-D118</f>
        <v>0</v>
      </c>
      <c r="G118">
        <f>+IF(F118&gt;0,(F118*'House extension'!D42),0)</f>
        <v>0</v>
      </c>
    </row>
    <row r="120" spans="1:7">
      <c r="A120" t="s">
        <v>1114</v>
      </c>
      <c r="B120" t="s">
        <v>154</v>
      </c>
      <c r="C120" t="s">
        <v>143</v>
      </c>
      <c r="F120">
        <f>+E120-D120</f>
        <v>0</v>
      </c>
      <c r="G120">
        <f>+IF(F120&gt;0,(F120*Cabinetry!E34*10),(F120*Cabinetry!E34*10*0.8))</f>
        <v>0</v>
      </c>
    </row>
    <row r="121" spans="1:7">
      <c r="A121" t="s">
        <v>1115</v>
      </c>
      <c r="B121" t="s">
        <v>155</v>
      </c>
      <c r="C121" t="s">
        <v>143</v>
      </c>
      <c r="F121">
        <f>+E121-D121</f>
        <v>0</v>
      </c>
      <c r="G121">
        <f>+IF(F121&gt;0,(F121*Cabinetry!E46*10),(F121*Cabinetry!E46*10*0.8))</f>
        <v>0</v>
      </c>
    </row>
    <row r="122" spans="1:7">
      <c r="A122" t="s">
        <v>1116</v>
      </c>
      <c r="B122" t="s">
        <v>156</v>
      </c>
      <c r="C122" t="s">
        <v>143</v>
      </c>
      <c r="F122">
        <f>+E122-D122</f>
        <v>0</v>
      </c>
      <c r="G122">
        <f>+IF(F122&gt;0,(F122*Cabinetry!E53*10),(F122*Cabinetry!E53*10*0.8))</f>
        <v>0</v>
      </c>
    </row>
    <row r="123" spans="1:7" ht="16.5" customHeight="1"/>
    <row r="124" spans="1:7">
      <c r="A124" t="s">
        <v>1123</v>
      </c>
      <c r="B124" t="s">
        <v>1117</v>
      </c>
      <c r="C124" t="s">
        <v>143</v>
      </c>
      <c r="F124">
        <f t="shared" ref="F124:F129" si="1">+E124-D124</f>
        <v>0</v>
      </c>
      <c r="G124" s="387">
        <f>IF(F124&gt;0,(F124*Cabinetry!E6*10),((F124*Cabinetry!E6*10*0.8)))</f>
        <v>0</v>
      </c>
    </row>
    <row r="125" spans="1:7">
      <c r="A125" t="s">
        <v>1125</v>
      </c>
      <c r="B125" t="s">
        <v>1118</v>
      </c>
      <c r="C125" t="s">
        <v>146</v>
      </c>
      <c r="F125">
        <f t="shared" si="1"/>
        <v>0</v>
      </c>
      <c r="G125">
        <f>+IF(F125&gt;0,(F125*Cabinetry!E7),((F125*Cabinetry!E7*0.8)))</f>
        <v>0</v>
      </c>
    </row>
    <row r="126" spans="1:7">
      <c r="A126" t="s">
        <v>1124</v>
      </c>
      <c r="B126" t="s">
        <v>1119</v>
      </c>
      <c r="C126" t="s">
        <v>143</v>
      </c>
      <c r="F126">
        <f t="shared" si="1"/>
        <v>0</v>
      </c>
      <c r="G126" s="387">
        <f>IF(F126&gt;0,(F126*Cabinetry!E6*10),((F126*Cabinetry!E6*10*0.8)))</f>
        <v>0</v>
      </c>
    </row>
    <row r="127" spans="1:7">
      <c r="A127" t="s">
        <v>1126</v>
      </c>
      <c r="B127" t="s">
        <v>1120</v>
      </c>
      <c r="C127" t="s">
        <v>146</v>
      </c>
      <c r="F127">
        <f t="shared" si="1"/>
        <v>0</v>
      </c>
      <c r="G127">
        <f>+IF(F127&gt;0,(F127*Cabinetry!E7),((F127*Cabinetry!E7*0.8)))</f>
        <v>0</v>
      </c>
    </row>
    <row r="128" spans="1:7">
      <c r="A128" t="s">
        <v>1127</v>
      </c>
      <c r="B128" t="s">
        <v>1121</v>
      </c>
      <c r="C128" t="s">
        <v>143</v>
      </c>
      <c r="F128">
        <f t="shared" si="1"/>
        <v>0</v>
      </c>
      <c r="G128" s="387">
        <f>IF(F128&gt;0,(F128*Cabinetry!E6*10),((F128*Cabinetry!E6*10*0.8)))</f>
        <v>0</v>
      </c>
    </row>
    <row r="129" spans="1:7">
      <c r="A129" t="s">
        <v>1128</v>
      </c>
      <c r="B129" t="s">
        <v>1122</v>
      </c>
      <c r="C129" t="s">
        <v>146</v>
      </c>
      <c r="F129">
        <f t="shared" si="1"/>
        <v>0</v>
      </c>
      <c r="G129">
        <f>+IF(F129&gt;0,(F129*Cabinetry!E7),((F129*Cabinetry!E7*0.8)))</f>
        <v>0</v>
      </c>
    </row>
    <row r="131" spans="1:7">
      <c r="A131" t="s">
        <v>1129</v>
      </c>
      <c r="B131" t="s">
        <v>157</v>
      </c>
      <c r="C131" t="s">
        <v>143</v>
      </c>
      <c r="F131">
        <f>+E131-D131</f>
        <v>0</v>
      </c>
      <c r="G131">
        <f>+IF(F131&gt;0,(F131*Cabinetry!E18*10),(F131*Cabinetry!E18*10*0.8))</f>
        <v>0</v>
      </c>
    </row>
    <row r="133" spans="1:7">
      <c r="B133" t="s">
        <v>158</v>
      </c>
      <c r="C133" t="s">
        <v>146</v>
      </c>
      <c r="F133">
        <f>+E133-D133</f>
        <v>0</v>
      </c>
      <c r="G133">
        <f>+IF(F133&gt;0,(F133*'Swing Doors'!D26),(F133*'Swing Doors'!D26*0.8))</f>
        <v>0</v>
      </c>
    </row>
    <row r="134" spans="1:7">
      <c r="B134" t="s">
        <v>159</v>
      </c>
      <c r="C134" t="s">
        <v>146</v>
      </c>
      <c r="F134">
        <f>+E134-D134</f>
        <v>0</v>
      </c>
      <c r="G134">
        <f>+IF(F134&gt;0,(F134*'Swing Doors'!D27),(F134*'Swing Doors'!D27*0.8))</f>
        <v>0</v>
      </c>
    </row>
    <row r="135" spans="1:7">
      <c r="B135" t="s">
        <v>160</v>
      </c>
      <c r="C135" t="s">
        <v>146</v>
      </c>
      <c r="F135">
        <f>+E135-D135</f>
        <v>0</v>
      </c>
      <c r="G135">
        <f>+IF(F135&gt;0,(F135*'Swing Doors'!D30),(F135*'Swing Doors'!D30*0.8))</f>
        <v>0</v>
      </c>
    </row>
    <row r="136" spans="1:7">
      <c r="B136" t="s">
        <v>161</v>
      </c>
      <c r="C136" t="s">
        <v>146</v>
      </c>
      <c r="F136">
        <f>+E136-D136</f>
        <v>0</v>
      </c>
      <c r="G136">
        <f>+IF(F136&gt;0,(F136*'Swing Doors'!D31),(F136*'Swing Doors'!D31*0.8))</f>
        <v>0</v>
      </c>
    </row>
    <row r="138" spans="1:7">
      <c r="B138" t="s">
        <v>162</v>
      </c>
    </row>
    <row r="139" spans="1:7">
      <c r="B139">
        <f>+'Windows &amp; Sliding Doors'!B9</f>
        <v>1006</v>
      </c>
      <c r="C139" t="s">
        <v>146</v>
      </c>
      <c r="D139">
        <v>2</v>
      </c>
      <c r="E139">
        <v>1</v>
      </c>
      <c r="F139">
        <f t="shared" ref="F139:F145" si="2">+E139-D139</f>
        <v>-1</v>
      </c>
      <c r="G139">
        <f>+IF(F139&gt;0,(F139*'Windows &amp; Sliding Doors'!D9),(F139*'Windows &amp; Sliding Doors'!D9*0.8))</f>
        <v>-252</v>
      </c>
    </row>
    <row r="140" spans="1:7">
      <c r="B140">
        <f>+'Windows &amp; Sliding Doors'!B10</f>
        <v>1212</v>
      </c>
      <c r="C140" t="s">
        <v>146</v>
      </c>
      <c r="D140">
        <v>2</v>
      </c>
      <c r="E140">
        <v>1</v>
      </c>
      <c r="F140">
        <f t="shared" si="2"/>
        <v>-1</v>
      </c>
      <c r="G140">
        <f>+IF(F140&gt;0,(F140*'Windows &amp; Sliding Doors'!D10),(F140*'Windows &amp; Sliding Doors'!D10*0.8))</f>
        <v>-352</v>
      </c>
    </row>
    <row r="141" spans="1:7">
      <c r="B141">
        <f>+'Windows &amp; Sliding Doors'!B11</f>
        <v>1215</v>
      </c>
      <c r="C141" t="s">
        <v>146</v>
      </c>
      <c r="E141">
        <v>1</v>
      </c>
      <c r="F141">
        <f t="shared" si="2"/>
        <v>1</v>
      </c>
      <c r="G141">
        <f>+IF(F141&gt;0,(F141*'Windows &amp; Sliding Doors'!D11),(F141*'Windows &amp; Sliding Doors'!D11*0.8))</f>
        <v>475</v>
      </c>
    </row>
    <row r="142" spans="1:7">
      <c r="B142">
        <f>+'Windows &amp; Sliding Doors'!B14</f>
        <v>1809</v>
      </c>
      <c r="C142" t="s">
        <v>146</v>
      </c>
      <c r="F142">
        <f t="shared" si="2"/>
        <v>0</v>
      </c>
      <c r="G142">
        <f>+IF(F142&gt;0,(F142*'Windows &amp; Sliding Doors'!D14),0)</f>
        <v>0</v>
      </c>
    </row>
    <row r="143" spans="1:7">
      <c r="B143">
        <f>+'Windows &amp; Sliding Doors'!B15</f>
        <v>1812</v>
      </c>
      <c r="C143" t="s">
        <v>146</v>
      </c>
      <c r="F143">
        <f t="shared" si="2"/>
        <v>0</v>
      </c>
      <c r="G143">
        <f>+IF(F143&gt;0,(F143*'Windows &amp; Sliding Doors'!D15),0)</f>
        <v>0</v>
      </c>
    </row>
    <row r="144" spans="1:7">
      <c r="B144">
        <f>+'Windows &amp; Sliding Doors'!B16</f>
        <v>1818</v>
      </c>
      <c r="C144" t="s">
        <v>146</v>
      </c>
      <c r="F144">
        <f t="shared" si="2"/>
        <v>0</v>
      </c>
      <c r="G144">
        <f>+IF(F144&gt;0,(F144*'Windows &amp; Sliding Doors'!D16),0)</f>
        <v>0</v>
      </c>
    </row>
    <row r="145" spans="2:7">
      <c r="B145">
        <f>+'Windows &amp; Sliding Doors'!B17</f>
        <v>1821</v>
      </c>
      <c r="C145" t="s">
        <v>146</v>
      </c>
      <c r="F145">
        <f t="shared" si="2"/>
        <v>0</v>
      </c>
      <c r="G145">
        <f>+IF(F145&gt;0,(F145*'Windows &amp; Sliding Doors'!D17),0)</f>
        <v>0</v>
      </c>
    </row>
    <row r="147" spans="2:7">
      <c r="B147" t="s">
        <v>163</v>
      </c>
      <c r="C147" t="s">
        <v>146</v>
      </c>
      <c r="F147">
        <f>+E147-D147</f>
        <v>0</v>
      </c>
      <c r="G147">
        <f>+IF(F147&gt;0,(F147*'Swing Doors'!D6),0)</f>
        <v>0</v>
      </c>
    </row>
    <row r="148" spans="2:7">
      <c r="B148" t="s">
        <v>164</v>
      </c>
      <c r="C148" t="s">
        <v>146</v>
      </c>
      <c r="F148">
        <f>+E148-D148</f>
        <v>0</v>
      </c>
      <c r="G148">
        <f>+IF(F148&gt;0,(F148*'Swing Doors'!D23),0)</f>
        <v>0</v>
      </c>
    </row>
    <row r="149" spans="2:7">
      <c r="B149" t="s">
        <v>165</v>
      </c>
    </row>
    <row r="150" spans="2:7">
      <c r="B150">
        <f>+'Windows &amp; Sliding Doors'!B22</f>
        <v>2115</v>
      </c>
      <c r="C150" t="s">
        <v>146</v>
      </c>
      <c r="F150">
        <f t="shared" ref="F150:F155" si="3">+E150-D150</f>
        <v>0</v>
      </c>
      <c r="G150">
        <f>+IF(F150&gt;0,(F150*'Windows &amp; Sliding Doors'!D22),0)</f>
        <v>0</v>
      </c>
    </row>
    <row r="151" spans="2:7">
      <c r="B151">
        <f>+'Windows &amp; Sliding Doors'!B23</f>
        <v>2118</v>
      </c>
      <c r="C151" t="s">
        <v>146</v>
      </c>
      <c r="F151">
        <f t="shared" si="3"/>
        <v>0</v>
      </c>
      <c r="G151">
        <f>+IF(F151&gt;0,(F151*'Windows &amp; Sliding Doors'!D23),0)</f>
        <v>0</v>
      </c>
    </row>
    <row r="152" spans="2:7">
      <c r="B152">
        <f>+'Windows &amp; Sliding Doors'!B24</f>
        <v>2121</v>
      </c>
      <c r="C152" t="s">
        <v>146</v>
      </c>
      <c r="F152">
        <f t="shared" si="3"/>
        <v>0</v>
      </c>
      <c r="G152">
        <f>+IF(F152&gt;0,(F152*'Windows &amp; Sliding Doors'!D24),0)</f>
        <v>0</v>
      </c>
    </row>
    <row r="153" spans="2:7">
      <c r="B153">
        <f>+'Windows &amp; Sliding Doors'!B25</f>
        <v>2124</v>
      </c>
      <c r="C153" t="s">
        <v>146</v>
      </c>
      <c r="F153">
        <f t="shared" si="3"/>
        <v>0</v>
      </c>
      <c r="G153">
        <f>+IF(F153&gt;0,(F153*'Windows &amp; Sliding Doors'!D25),0)</f>
        <v>0</v>
      </c>
    </row>
    <row r="154" spans="2:7">
      <c r="B154">
        <f>+'Windows &amp; Sliding Doors'!B26</f>
        <v>2127</v>
      </c>
      <c r="C154" t="s">
        <v>146</v>
      </c>
      <c r="F154">
        <f t="shared" si="3"/>
        <v>0</v>
      </c>
      <c r="G154">
        <f>+IF(F154&gt;0,(F154*'Windows &amp; Sliding Doors'!D26),0)</f>
        <v>0</v>
      </c>
    </row>
    <row r="155" spans="2:7">
      <c r="B155">
        <f>+'Windows &amp; Sliding Doors'!B28</f>
        <v>2136</v>
      </c>
      <c r="C155" t="s">
        <v>146</v>
      </c>
      <c r="F155">
        <f t="shared" si="3"/>
        <v>0</v>
      </c>
      <c r="G155">
        <f>+IF(F155&gt;0,(F155*'Windows &amp; Sliding Doors'!D28),0)</f>
        <v>0</v>
      </c>
    </row>
    <row r="157" spans="2:7">
      <c r="B157" t="s">
        <v>166</v>
      </c>
    </row>
    <row r="158" spans="2:7">
      <c r="B158" t="s">
        <v>167</v>
      </c>
      <c r="C158" t="s">
        <v>146</v>
      </c>
      <c r="F158">
        <f t="shared" ref="F158:F163" si="4">+E158-D158</f>
        <v>0</v>
      </c>
      <c r="G158">
        <f>+IF(F158&gt;0,(F158*'Robes &amp; Shelving'!D6),0)</f>
        <v>0</v>
      </c>
    </row>
    <row r="159" spans="2:7">
      <c r="B159" t="s">
        <v>168</v>
      </c>
      <c r="C159" t="s">
        <v>146</v>
      </c>
      <c r="F159">
        <f t="shared" si="4"/>
        <v>0</v>
      </c>
      <c r="G159">
        <f>+IF(F159&gt;0,(F159*'Robes &amp; Shelving'!D7),0)</f>
        <v>0</v>
      </c>
    </row>
    <row r="160" spans="2:7">
      <c r="B160" t="s">
        <v>169</v>
      </c>
      <c r="C160" t="s">
        <v>146</v>
      </c>
      <c r="F160">
        <f t="shared" si="4"/>
        <v>0</v>
      </c>
      <c r="G160">
        <f>+IF(F160&gt;0,(F160*'Robes &amp; Shelving'!D8),0)</f>
        <v>0</v>
      </c>
    </row>
    <row r="161" spans="2:7">
      <c r="B161" t="s">
        <v>170</v>
      </c>
      <c r="C161" t="s">
        <v>143</v>
      </c>
      <c r="F161">
        <f t="shared" si="4"/>
        <v>0</v>
      </c>
      <c r="G161">
        <f>+IF(F161&gt;0,('Robes &amp; Shelving'!D9*10),0)</f>
        <v>0</v>
      </c>
    </row>
    <row r="162" spans="2:7">
      <c r="B162" t="s">
        <v>171</v>
      </c>
      <c r="C162" t="s">
        <v>143</v>
      </c>
      <c r="F162">
        <f t="shared" si="4"/>
        <v>0</v>
      </c>
      <c r="G162">
        <f>+IF(F162&gt;0,('Robes &amp; Shelving'!D16*10),0)</f>
        <v>0</v>
      </c>
    </row>
    <row r="163" spans="2:7">
      <c r="B163" t="s">
        <v>172</v>
      </c>
      <c r="C163" t="s">
        <v>146</v>
      </c>
      <c r="F163">
        <f t="shared" si="4"/>
        <v>0</v>
      </c>
      <c r="G163">
        <f>+IF(F163&gt;0,(F163*'Robes &amp; Shelving'!D18),0)</f>
        <v>0</v>
      </c>
    </row>
    <row r="165" spans="2:7">
      <c r="B165" t="s">
        <v>131</v>
      </c>
      <c r="C165" t="s">
        <v>138</v>
      </c>
      <c r="F165">
        <f>+E165-D165</f>
        <v>0</v>
      </c>
      <c r="G165">
        <f>+IF(F165&gt;0,(F165*'Floor Coverings'!D10),0)</f>
        <v>0</v>
      </c>
    </row>
    <row r="166" spans="2:7">
      <c r="B166" t="s">
        <v>3</v>
      </c>
      <c r="C166" t="s">
        <v>138</v>
      </c>
      <c r="F166">
        <f>+E166-D166</f>
        <v>0</v>
      </c>
      <c r="G166">
        <f>+IF(F166&gt;0,(F166*'Floor Coverings'!D6),0)</f>
        <v>0</v>
      </c>
    </row>
    <row r="167" spans="2:7" ht="15.75" thickBot="1">
      <c r="E167" s="18" t="s">
        <v>173</v>
      </c>
      <c r="G167" s="19">
        <f>SUBTOTAL(9,G101:G166)</f>
        <v>10136</v>
      </c>
    </row>
  </sheetData>
  <autoFilter ref="B2:B97" xr:uid="{0187A36A-9E16-4EFC-B30F-A6301A036D45}">
    <filterColumn colId="0">
      <filters>
        <filter val="Adelaide 18"/>
      </filters>
    </filterColumn>
  </autoFilter>
  <pageMargins left="0.7" right="0.7" top="0.75" bottom="0.75" header="0.3" footer="0.3"/>
  <pageSetup paperSize="9" orientation="portrait" horizontalDpi="120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1053C-E614-4841-AD64-BA19540F3443}">
  <sheetPr codeName="Sheet26"/>
  <dimension ref="A2:H375"/>
  <sheetViews>
    <sheetView zoomScaleNormal="100" workbookViewId="0">
      <selection activeCell="A251" sqref="A251:B251"/>
    </sheetView>
  </sheetViews>
  <sheetFormatPr defaultRowHeight="15"/>
  <cols>
    <col min="1" max="1" width="68.85546875" customWidth="1"/>
    <col min="2" max="2" width="9.140625" style="100"/>
  </cols>
  <sheetData>
    <row r="2" spans="1:2">
      <c r="A2" t="s">
        <v>1434</v>
      </c>
    </row>
    <row r="4" spans="1:2" ht="15.75" thickBot="1"/>
    <row r="5" spans="1:2" ht="15" customHeight="1">
      <c r="A5" s="761" t="s">
        <v>1425</v>
      </c>
      <c r="B5" s="762"/>
    </row>
    <row r="6" spans="1:2" ht="15" customHeight="1">
      <c r="A6" s="763"/>
      <c r="B6" s="764"/>
    </row>
    <row r="7" spans="1:2" ht="12" customHeight="1">
      <c r="A7" s="763"/>
      <c r="B7" s="764"/>
    </row>
    <row r="8" spans="1:2" ht="15" customHeight="1" thickBot="1">
      <c r="A8" s="765"/>
      <c r="B8" s="766"/>
    </row>
    <row r="9" spans="1:2" ht="15" customHeight="1">
      <c r="A9" s="532"/>
      <c r="B9" s="532"/>
    </row>
    <row r="10" spans="1:2" ht="15" customHeight="1">
      <c r="A10" s="532"/>
      <c r="B10" s="532"/>
    </row>
    <row r="11" spans="1:2" ht="15.75" thickBot="1"/>
    <row r="12" spans="1:2" ht="20.100000000000001" customHeight="1">
      <c r="A12" s="767" t="s">
        <v>1023</v>
      </c>
      <c r="B12" s="768"/>
    </row>
    <row r="13" spans="1:2" ht="20.100000000000001" customHeight="1">
      <c r="A13" s="257" t="s">
        <v>1024</v>
      </c>
      <c r="B13" s="383">
        <f>ROUNDUP((2*'Windows &amp; Sliding Doors'!J14)-'Windows &amp; Sliding Doors'!D16,10)</f>
        <v>680</v>
      </c>
    </row>
    <row r="14" spans="1:2" ht="20.100000000000001" customHeight="1" thickBot="1">
      <c r="A14" s="267"/>
      <c r="B14" s="384">
        <f>SUM(B13:B13)</f>
        <v>680</v>
      </c>
    </row>
    <row r="15" spans="1:2" ht="20.100000000000001" customHeight="1" thickBot="1"/>
    <row r="16" spans="1:2" ht="20.100000000000001" customHeight="1">
      <c r="A16" s="767" t="s">
        <v>1027</v>
      </c>
      <c r="B16" s="768"/>
    </row>
    <row r="17" spans="1:2" ht="20.100000000000001" customHeight="1">
      <c r="A17" s="257" t="s">
        <v>1024</v>
      </c>
      <c r="B17" s="382">
        <f>+B13</f>
        <v>680</v>
      </c>
    </row>
    <row r="18" spans="1:2" ht="20.100000000000001" customHeight="1">
      <c r="A18" s="257" t="s">
        <v>1028</v>
      </c>
      <c r="B18" s="383">
        <v>5500</v>
      </c>
    </row>
    <row r="19" spans="1:2" ht="20.100000000000001" customHeight="1" thickBot="1">
      <c r="A19" s="267"/>
      <c r="B19" s="384">
        <f>SUM(B17:B18)</f>
        <v>6180</v>
      </c>
    </row>
    <row r="20" spans="1:2" ht="20.100000000000001" customHeight="1" thickBot="1"/>
    <row r="21" spans="1:2" ht="20.100000000000001" customHeight="1">
      <c r="A21" s="767" t="s">
        <v>1029</v>
      </c>
      <c r="B21" s="768"/>
    </row>
    <row r="22" spans="1:2" ht="20.100000000000001" customHeight="1">
      <c r="A22" s="257" t="s">
        <v>1407</v>
      </c>
      <c r="B22" s="382">
        <f>+ROUNDUP(('Windows &amp; Sliding Doors'!P14*2)-'Windows &amp; Sliding Doors'!D16,10)</f>
        <v>1200</v>
      </c>
    </row>
    <row r="23" spans="1:2" ht="20.100000000000001" customHeight="1">
      <c r="A23" s="257" t="s">
        <v>1030</v>
      </c>
      <c r="B23" s="382">
        <f>+B18</f>
        <v>5500</v>
      </c>
    </row>
    <row r="24" spans="1:2" ht="20.100000000000001" customHeight="1">
      <c r="A24" s="257" t="s">
        <v>1408</v>
      </c>
      <c r="B24" s="382">
        <v>1300</v>
      </c>
    </row>
    <row r="25" spans="1:2" ht="20.100000000000001" customHeight="1">
      <c r="A25" s="257" t="s">
        <v>1406</v>
      </c>
      <c r="B25" s="383">
        <f>+CEILING(((Facades!D13*30)+(Facades!D14*2)+(Facades!D15*2)+(Facades!D16*2)),10)</f>
        <v>3730</v>
      </c>
    </row>
    <row r="26" spans="1:2" ht="20.100000000000001" customHeight="1" thickBot="1">
      <c r="A26" s="267"/>
      <c r="B26" s="384">
        <f>SUM(B22:B25)</f>
        <v>11730</v>
      </c>
    </row>
    <row r="27" spans="1:2" ht="20.100000000000001" customHeight="1" thickBot="1"/>
    <row r="28" spans="1:2" ht="20.100000000000001" customHeight="1">
      <c r="A28" s="767" t="s">
        <v>1031</v>
      </c>
      <c r="B28" s="768"/>
    </row>
    <row r="29" spans="1:2" ht="20.100000000000001" customHeight="1">
      <c r="A29" s="257" t="s">
        <v>1032</v>
      </c>
      <c r="B29" s="382">
        <f>+'Windows &amp; Sliding Doors'!P16-'Windows &amp; Sliding Doors'!D16</f>
        <v>695</v>
      </c>
    </row>
    <row r="30" spans="1:2" ht="20.100000000000001" customHeight="1">
      <c r="A30" s="257" t="s">
        <v>1033</v>
      </c>
      <c r="B30" s="382">
        <f>+Facades!D7</f>
        <v>3300</v>
      </c>
    </row>
    <row r="31" spans="1:2" ht="20.100000000000001" customHeight="1">
      <c r="A31" s="257" t="s">
        <v>1028</v>
      </c>
      <c r="B31" s="382">
        <f>+B23</f>
        <v>5500</v>
      </c>
    </row>
    <row r="32" spans="1:2" ht="20.100000000000001" customHeight="1">
      <c r="A32" s="257" t="s">
        <v>1408</v>
      </c>
      <c r="B32" s="382">
        <f>+B24</f>
        <v>1300</v>
      </c>
    </row>
    <row r="33" spans="1:2" ht="20.100000000000001" customHeight="1">
      <c r="A33" s="257" t="s">
        <v>1433</v>
      </c>
      <c r="B33" s="383">
        <v>520</v>
      </c>
    </row>
    <row r="34" spans="1:2" ht="20.100000000000001" customHeight="1" thickBot="1">
      <c r="A34" s="267"/>
      <c r="B34" s="384">
        <f>SUM(B29:B33)</f>
        <v>11315</v>
      </c>
    </row>
    <row r="35" spans="1:2" ht="20.100000000000001" customHeight="1"/>
    <row r="37" spans="1:2">
      <c r="A37" t="str">
        <f>+A2</f>
        <v>Facade pricing July 2024</v>
      </c>
    </row>
    <row r="39" spans="1:2" ht="15.75" thickBot="1"/>
    <row r="40" spans="1:2" ht="20.100000000000001" customHeight="1">
      <c r="A40" s="767" t="s">
        <v>1034</v>
      </c>
      <c r="B40" s="768"/>
    </row>
    <row r="41" spans="1:2" ht="20.100000000000001" customHeight="1">
      <c r="A41" s="257" t="s">
        <v>1024</v>
      </c>
      <c r="B41" s="382">
        <f>+ROUNDUP(('Windows &amp; Sliding Doors'!J16-'Windows &amp; Sliding Doors'!D16)+'Windows &amp; Sliding Doors'!J14,10)</f>
        <v>960</v>
      </c>
    </row>
    <row r="42" spans="1:2" ht="20.100000000000001" customHeight="1">
      <c r="A42" s="257" t="s">
        <v>1035</v>
      </c>
      <c r="B42" s="383">
        <f>+ROUNDUP((('House extension'!D25*2.5)+2*'House extension'!D26+(2+1.5)*'House extension'!D29),10)+200</f>
        <v>1315</v>
      </c>
    </row>
    <row r="43" spans="1:2" ht="20.100000000000001" customHeight="1" thickBot="1">
      <c r="A43" s="267"/>
      <c r="B43" s="384">
        <f>SUM(B41:B42)</f>
        <v>2275</v>
      </c>
    </row>
    <row r="44" spans="1:2" ht="20.100000000000001" customHeight="1" thickBot="1"/>
    <row r="45" spans="1:2" ht="20.100000000000001" customHeight="1">
      <c r="A45" s="767" t="s">
        <v>1036</v>
      </c>
      <c r="B45" s="768"/>
    </row>
    <row r="46" spans="1:2" ht="20.100000000000001" customHeight="1">
      <c r="A46" s="257" t="s">
        <v>1407</v>
      </c>
      <c r="B46" s="382">
        <f>+ROUNDUP(('Windows &amp; Sliding Doors'!P14+'Windows &amp; Sliding Doors'!P16-'Windows &amp; Sliding Doors'!D16),10)</f>
        <v>1545</v>
      </c>
    </row>
    <row r="47" spans="1:2" ht="20.100000000000001" customHeight="1">
      <c r="A47" s="257" t="s">
        <v>1409</v>
      </c>
      <c r="B47" s="382">
        <v>6500</v>
      </c>
    </row>
    <row r="48" spans="1:2" ht="20.100000000000001" customHeight="1">
      <c r="A48" s="257" t="s">
        <v>1035</v>
      </c>
      <c r="B48" s="382">
        <f>+B42</f>
        <v>1315</v>
      </c>
    </row>
    <row r="49" spans="1:2" ht="20.100000000000001" customHeight="1" thickBot="1">
      <c r="A49" s="267"/>
      <c r="B49" s="384">
        <f>SUM(B46:B48)</f>
        <v>9360</v>
      </c>
    </row>
    <row r="50" spans="1:2" ht="20.100000000000001" customHeight="1" thickBot="1"/>
    <row r="51" spans="1:2" ht="20.100000000000001" customHeight="1">
      <c r="A51" s="767" t="s">
        <v>1038</v>
      </c>
      <c r="B51" s="768"/>
    </row>
    <row r="52" spans="1:2" ht="20.100000000000001" customHeight="1">
      <c r="A52" s="257" t="s">
        <v>1032</v>
      </c>
      <c r="B52" s="382">
        <f>+B41</f>
        <v>960</v>
      </c>
    </row>
    <row r="53" spans="1:2" ht="20.100000000000001" customHeight="1">
      <c r="A53" s="257" t="s">
        <v>1039</v>
      </c>
      <c r="B53" s="382">
        <v>1110</v>
      </c>
    </row>
    <row r="54" spans="1:2" ht="20.100000000000001" customHeight="1">
      <c r="A54" s="257" t="s">
        <v>1040</v>
      </c>
      <c r="B54" s="382">
        <v>530</v>
      </c>
    </row>
    <row r="55" spans="1:2" ht="20.100000000000001" customHeight="1">
      <c r="A55" s="257" t="s">
        <v>1409</v>
      </c>
      <c r="B55" s="382">
        <v>6100</v>
      </c>
    </row>
    <row r="56" spans="1:2" ht="20.100000000000001" customHeight="1">
      <c r="A56" s="257" t="s">
        <v>1035</v>
      </c>
      <c r="B56" s="382">
        <f>+B48</f>
        <v>1315</v>
      </c>
    </row>
    <row r="57" spans="1:2" ht="20.100000000000001" customHeight="1">
      <c r="A57" s="257" t="s">
        <v>1406</v>
      </c>
      <c r="B57" s="397">
        <f>+ROUNDUP((Facades!D13*30+Facades!D14+Facades!D15+Facades!D15+Facades!D16),10)</f>
        <v>3280</v>
      </c>
    </row>
    <row r="58" spans="1:2" ht="20.100000000000001" customHeight="1" thickBot="1">
      <c r="A58" s="267"/>
      <c r="B58" s="384">
        <f>SUM(B52:B57)</f>
        <v>13295</v>
      </c>
    </row>
    <row r="60" spans="1:2">
      <c r="A60" t="str">
        <f>+A37</f>
        <v>Facade pricing July 2024</v>
      </c>
    </row>
    <row r="62" spans="1:2" ht="20.100000000000001" customHeight="1" thickBot="1"/>
    <row r="63" spans="1:2" ht="20.100000000000001" customHeight="1">
      <c r="A63" s="767" t="s">
        <v>1041</v>
      </c>
      <c r="B63" s="768"/>
    </row>
    <row r="64" spans="1:2" ht="20.100000000000001" customHeight="1">
      <c r="A64" s="257" t="s">
        <v>1024</v>
      </c>
      <c r="B64" s="382">
        <f>+B13</f>
        <v>680</v>
      </c>
    </row>
    <row r="65" spans="1:2" ht="20.100000000000001" customHeight="1">
      <c r="A65" s="257" t="s">
        <v>1035</v>
      </c>
      <c r="B65" s="382">
        <f>+B48</f>
        <v>1315</v>
      </c>
    </row>
    <row r="66" spans="1:2" ht="20.100000000000001" customHeight="1">
      <c r="A66" s="257" t="s">
        <v>1025</v>
      </c>
      <c r="B66" s="383" t="s">
        <v>1026</v>
      </c>
    </row>
    <row r="67" spans="1:2" ht="20.100000000000001" customHeight="1" thickBot="1">
      <c r="A67" s="267"/>
      <c r="B67" s="384">
        <f>SUM(B64:B66)</f>
        <v>1995</v>
      </c>
    </row>
    <row r="68" spans="1:2" ht="20.100000000000001" customHeight="1" thickBot="1"/>
    <row r="69" spans="1:2" ht="20.100000000000001" customHeight="1">
      <c r="A69" s="767" t="s">
        <v>1043</v>
      </c>
      <c r="B69" s="768"/>
    </row>
    <row r="70" spans="1:2" ht="20.100000000000001" customHeight="1">
      <c r="A70" s="257" t="s">
        <v>1407</v>
      </c>
      <c r="B70" s="382">
        <f>+B64</f>
        <v>680</v>
      </c>
    </row>
    <row r="71" spans="1:2" ht="20.100000000000001" customHeight="1">
      <c r="A71" s="257" t="s">
        <v>1044</v>
      </c>
      <c r="B71" s="382">
        <f>+ROUNDUP('House extension'!D36*6-'House extension'!D27-'House extension'!D37,10)</f>
        <v>1095</v>
      </c>
    </row>
    <row r="72" spans="1:2" ht="20.100000000000001" customHeight="1">
      <c r="A72" s="257" t="s">
        <v>1045</v>
      </c>
      <c r="B72" s="382">
        <v>1040</v>
      </c>
    </row>
    <row r="73" spans="1:2" ht="20.100000000000001" customHeight="1">
      <c r="A73" s="257" t="s">
        <v>1046</v>
      </c>
      <c r="B73" s="382">
        <v>3700</v>
      </c>
    </row>
    <row r="74" spans="1:2" ht="20.100000000000001" customHeight="1">
      <c r="A74" s="257" t="s">
        <v>1047</v>
      </c>
      <c r="B74" s="382">
        <f>+B25</f>
        <v>3730</v>
      </c>
    </row>
    <row r="75" spans="1:2" ht="20.100000000000001" customHeight="1">
      <c r="A75" s="257" t="s">
        <v>1035</v>
      </c>
      <c r="B75" s="383">
        <f>+B65</f>
        <v>1315</v>
      </c>
    </row>
    <row r="76" spans="1:2" ht="20.100000000000001" customHeight="1" thickBot="1">
      <c r="A76" s="267"/>
      <c r="B76" s="384">
        <f>SUM(B70:B75)</f>
        <v>11560</v>
      </c>
    </row>
    <row r="77" spans="1:2" ht="20.100000000000001" customHeight="1" thickBot="1"/>
    <row r="78" spans="1:2" ht="20.100000000000001" customHeight="1">
      <c r="A78" s="767" t="s">
        <v>1048</v>
      </c>
      <c r="B78" s="768"/>
    </row>
    <row r="79" spans="1:2" ht="20.100000000000001" customHeight="1">
      <c r="A79" s="257" t="s">
        <v>1032</v>
      </c>
      <c r="B79" s="382">
        <f>+B70</f>
        <v>680</v>
      </c>
    </row>
    <row r="80" spans="1:2" ht="20.100000000000001" customHeight="1">
      <c r="A80" s="257" t="s">
        <v>1410</v>
      </c>
      <c r="B80" s="382">
        <v>610</v>
      </c>
    </row>
    <row r="81" spans="1:2" ht="20.100000000000001" customHeight="1">
      <c r="A81" s="257" t="s">
        <v>1049</v>
      </c>
      <c r="B81" s="382">
        <f>+B71</f>
        <v>1095</v>
      </c>
    </row>
    <row r="82" spans="1:2" ht="20.100000000000001" customHeight="1">
      <c r="A82" s="257" t="s">
        <v>1045</v>
      </c>
      <c r="B82" s="382">
        <f>+B72</f>
        <v>1040</v>
      </c>
    </row>
    <row r="83" spans="1:2" ht="20.100000000000001" customHeight="1">
      <c r="A83" s="257" t="s">
        <v>1047</v>
      </c>
      <c r="B83" s="382">
        <f>+B74</f>
        <v>3730</v>
      </c>
    </row>
    <row r="84" spans="1:2" ht="20.100000000000001" customHeight="1">
      <c r="A84" s="257" t="s">
        <v>1411</v>
      </c>
      <c r="B84" s="382">
        <f>+B73+B32</f>
        <v>5000</v>
      </c>
    </row>
    <row r="85" spans="1:2" ht="20.100000000000001" customHeight="1">
      <c r="A85" s="257" t="s">
        <v>1050</v>
      </c>
      <c r="B85" s="383">
        <f>+Facades!D7</f>
        <v>3300</v>
      </c>
    </row>
    <row r="86" spans="1:2" ht="20.100000000000001" customHeight="1" thickBot="1">
      <c r="A86" s="267"/>
      <c r="B86" s="384">
        <f>SUM(B79:B85)</f>
        <v>15455</v>
      </c>
    </row>
    <row r="87" spans="1:2" ht="20.100000000000001" customHeight="1"/>
    <row r="89" spans="1:2">
      <c r="A89" t="str">
        <f>+A60</f>
        <v>Facade pricing July 2024</v>
      </c>
    </row>
    <row r="91" spans="1:2" ht="20.100000000000001" customHeight="1" thickBot="1"/>
    <row r="92" spans="1:2" ht="20.100000000000001" customHeight="1">
      <c r="A92" s="767" t="s">
        <v>1051</v>
      </c>
      <c r="B92" s="768"/>
    </row>
    <row r="93" spans="1:2" ht="20.100000000000001" customHeight="1">
      <c r="A93" s="257" t="s">
        <v>1052</v>
      </c>
      <c r="B93" s="382" t="s">
        <v>1026</v>
      </c>
    </row>
    <row r="94" spans="1:2" ht="20.100000000000001" customHeight="1">
      <c r="A94" s="257" t="s">
        <v>1053</v>
      </c>
      <c r="B94" s="383" t="s">
        <v>1026</v>
      </c>
    </row>
    <row r="95" spans="1:2" ht="20.100000000000001" customHeight="1" thickBot="1">
      <c r="A95" s="267"/>
      <c r="B95" s="384">
        <f>SUM(B94:B94)</f>
        <v>0</v>
      </c>
    </row>
    <row r="96" spans="1:2" ht="20.100000000000001" customHeight="1" thickBot="1"/>
    <row r="97" spans="1:2" ht="20.100000000000001" customHeight="1">
      <c r="A97" s="767" t="s">
        <v>1054</v>
      </c>
      <c r="B97" s="768"/>
    </row>
    <row r="98" spans="1:2" ht="20.100000000000001" customHeight="1">
      <c r="A98" s="257" t="s">
        <v>1024</v>
      </c>
      <c r="B98" s="382">
        <v>1650</v>
      </c>
    </row>
    <row r="99" spans="1:2" ht="20.100000000000001" customHeight="1">
      <c r="A99" s="257" t="s">
        <v>1412</v>
      </c>
      <c r="B99" s="382">
        <v>6500</v>
      </c>
    </row>
    <row r="100" spans="1:2" ht="20.100000000000001" customHeight="1" thickBot="1">
      <c r="A100" s="267"/>
      <c r="B100" s="384">
        <f>SUM(B98:B99)</f>
        <v>8150</v>
      </c>
    </row>
    <row r="101" spans="1:2" ht="20.100000000000001" customHeight="1" thickBot="1"/>
    <row r="102" spans="1:2" ht="20.100000000000001" customHeight="1">
      <c r="A102" s="767" t="s">
        <v>1055</v>
      </c>
      <c r="B102" s="768"/>
    </row>
    <row r="103" spans="1:2" ht="20.100000000000001" customHeight="1">
      <c r="A103" s="257" t="s">
        <v>1032</v>
      </c>
      <c r="B103" s="382">
        <v>610</v>
      </c>
    </row>
    <row r="104" spans="1:2" ht="20.100000000000001" customHeight="1">
      <c r="A104" s="257" t="s">
        <v>1414</v>
      </c>
      <c r="B104" s="382">
        <f>470*2</f>
        <v>940</v>
      </c>
    </row>
    <row r="105" spans="1:2" ht="20.100000000000001" customHeight="1">
      <c r="A105" s="257" t="s">
        <v>1413</v>
      </c>
      <c r="B105" s="382">
        <v>1950</v>
      </c>
    </row>
    <row r="106" spans="1:2" ht="20.100000000000001" customHeight="1">
      <c r="A106" s="257" t="s">
        <v>1412</v>
      </c>
      <c r="B106" s="382">
        <f>+B47</f>
        <v>6500</v>
      </c>
    </row>
    <row r="107" spans="1:2" ht="20.100000000000001" customHeight="1">
      <c r="A107" s="257" t="s">
        <v>1056</v>
      </c>
      <c r="B107" s="382">
        <f>+(Facades!D13*30)+Facades!D14+Facades!D15*2+Facades!D16</f>
        <v>3280</v>
      </c>
    </row>
    <row r="108" spans="1:2" ht="20.100000000000001" customHeight="1">
      <c r="A108" s="257" t="s">
        <v>1057</v>
      </c>
      <c r="B108" s="383">
        <v>3300</v>
      </c>
    </row>
    <row r="109" spans="1:2" ht="20.100000000000001" customHeight="1" thickBot="1">
      <c r="A109" s="267"/>
      <c r="B109" s="384">
        <f>SUM(B103:B108)</f>
        <v>16580</v>
      </c>
    </row>
    <row r="110" spans="1:2" ht="20.100000000000001" customHeight="1" thickBot="1"/>
    <row r="111" spans="1:2" ht="20.100000000000001" customHeight="1">
      <c r="A111" s="767" t="s">
        <v>1058</v>
      </c>
      <c r="B111" s="768"/>
    </row>
    <row r="112" spans="1:2" ht="20.100000000000001" customHeight="1">
      <c r="A112" s="257" t="s">
        <v>1407</v>
      </c>
      <c r="B112" s="382">
        <v>1650</v>
      </c>
    </row>
    <row r="113" spans="1:2" ht="20.100000000000001" customHeight="1">
      <c r="A113" s="257" t="s">
        <v>1424</v>
      </c>
      <c r="B113" s="382">
        <v>9500</v>
      </c>
    </row>
    <row r="114" spans="1:2" ht="20.100000000000001" customHeight="1">
      <c r="A114" s="257" t="s">
        <v>1042</v>
      </c>
      <c r="B114" s="382">
        <v>175</v>
      </c>
    </row>
    <row r="115" spans="1:2" ht="20.100000000000001" customHeight="1">
      <c r="A115" s="257" t="s">
        <v>1056</v>
      </c>
      <c r="B115" s="382">
        <f>+B107</f>
        <v>3280</v>
      </c>
    </row>
    <row r="116" spans="1:2" ht="20.100000000000001" customHeight="1" thickBot="1">
      <c r="A116" s="267"/>
      <c r="B116" s="384">
        <f>SUM(B112:B115)</f>
        <v>14605</v>
      </c>
    </row>
    <row r="118" spans="1:2">
      <c r="A118" t="str">
        <f>+A89</f>
        <v>Facade pricing July 2024</v>
      </c>
    </row>
    <row r="120" spans="1:2" ht="20.100000000000001" customHeight="1" thickBot="1"/>
    <row r="121" spans="1:2" ht="20.100000000000001" customHeight="1">
      <c r="A121" s="767" t="s">
        <v>1059</v>
      </c>
      <c r="B121" s="768"/>
    </row>
    <row r="122" spans="1:2" ht="20.100000000000001" customHeight="1">
      <c r="A122" s="257" t="s">
        <v>1024</v>
      </c>
      <c r="B122" s="382">
        <v>1115</v>
      </c>
    </row>
    <row r="123" spans="1:2" ht="20.100000000000001" customHeight="1" thickBot="1">
      <c r="A123" s="267"/>
      <c r="B123" s="384">
        <f>SUM(B122:B122)</f>
        <v>1115</v>
      </c>
    </row>
    <row r="124" spans="1:2" ht="20.100000000000001" customHeight="1" thickBot="1"/>
    <row r="125" spans="1:2" ht="20.100000000000001" customHeight="1">
      <c r="A125" s="767" t="s">
        <v>1060</v>
      </c>
      <c r="B125" s="768"/>
    </row>
    <row r="126" spans="1:2" ht="20.100000000000001" customHeight="1">
      <c r="A126" s="257" t="s">
        <v>1407</v>
      </c>
      <c r="B126" s="382">
        <v>2490</v>
      </c>
    </row>
    <row r="127" spans="1:2" ht="20.100000000000001" customHeight="1">
      <c r="A127" s="257" t="s">
        <v>1062</v>
      </c>
      <c r="B127" s="382">
        <v>1470</v>
      </c>
    </row>
    <row r="128" spans="1:2" ht="20.100000000000001" customHeight="1">
      <c r="A128" s="257" t="s">
        <v>1415</v>
      </c>
      <c r="B128" s="382">
        <v>8200</v>
      </c>
    </row>
    <row r="129" spans="1:2" ht="20.100000000000001" customHeight="1">
      <c r="A129" s="257" t="s">
        <v>1035</v>
      </c>
      <c r="B129" s="383">
        <v>4250</v>
      </c>
    </row>
    <row r="130" spans="1:2" ht="20.100000000000001" customHeight="1" thickBot="1">
      <c r="A130" s="267"/>
      <c r="B130" s="384">
        <f>SUM(B126:B129)</f>
        <v>16410</v>
      </c>
    </row>
    <row r="131" spans="1:2" ht="20.100000000000001" customHeight="1" thickBot="1"/>
    <row r="132" spans="1:2" ht="20.100000000000001" customHeight="1">
      <c r="A132" s="767" t="s">
        <v>1063</v>
      </c>
      <c r="B132" s="768"/>
    </row>
    <row r="133" spans="1:2" ht="20.100000000000001" customHeight="1">
      <c r="A133" s="257" t="s">
        <v>1407</v>
      </c>
      <c r="B133" s="382">
        <v>2490</v>
      </c>
    </row>
    <row r="134" spans="1:2" ht="20.100000000000001" customHeight="1">
      <c r="A134" s="257" t="s">
        <v>1064</v>
      </c>
      <c r="B134" s="382">
        <v>1980</v>
      </c>
    </row>
    <row r="135" spans="1:2" ht="20.100000000000001" customHeight="1">
      <c r="A135" s="257" t="s">
        <v>1065</v>
      </c>
      <c r="B135" s="382">
        <f>+B115</f>
        <v>3280</v>
      </c>
    </row>
    <row r="136" spans="1:2" ht="20.100000000000001" customHeight="1">
      <c r="A136" s="257" t="s">
        <v>1066</v>
      </c>
      <c r="B136" s="382" t="s">
        <v>1026</v>
      </c>
    </row>
    <row r="137" spans="1:2" ht="20.100000000000001" customHeight="1">
      <c r="A137" s="257" t="s">
        <v>1067</v>
      </c>
      <c r="B137" s="382">
        <v>13200</v>
      </c>
    </row>
    <row r="138" spans="1:2" ht="20.100000000000001" customHeight="1">
      <c r="A138" s="257" t="s">
        <v>1405</v>
      </c>
      <c r="B138" s="382" t="s">
        <v>1026</v>
      </c>
    </row>
    <row r="139" spans="1:2" ht="20.100000000000001" customHeight="1">
      <c r="A139" s="257" t="s">
        <v>1068</v>
      </c>
      <c r="B139" s="382">
        <v>1000</v>
      </c>
    </row>
    <row r="140" spans="1:2" ht="20.100000000000001" customHeight="1">
      <c r="A140" s="257" t="s">
        <v>1035</v>
      </c>
      <c r="B140" s="382">
        <v>4200</v>
      </c>
    </row>
    <row r="141" spans="1:2" ht="20.100000000000001" customHeight="1">
      <c r="A141" s="257" t="s">
        <v>1069</v>
      </c>
      <c r="B141" s="383">
        <v>5000</v>
      </c>
    </row>
    <row r="142" spans="1:2" ht="20.100000000000001" customHeight="1" thickBot="1">
      <c r="A142" s="267"/>
      <c r="B142" s="384">
        <f>SUM(B133:B141)</f>
        <v>31150</v>
      </c>
    </row>
    <row r="144" spans="1:2">
      <c r="A144" t="str">
        <f>+A118</f>
        <v>Facade pricing July 2024</v>
      </c>
    </row>
    <row r="146" spans="1:2" ht="20.100000000000001" customHeight="1" thickBot="1"/>
    <row r="147" spans="1:2" ht="20.100000000000001" customHeight="1">
      <c r="A147" s="767" t="s">
        <v>1070</v>
      </c>
      <c r="B147" s="768"/>
    </row>
    <row r="148" spans="1:2" ht="20.100000000000001" customHeight="1">
      <c r="A148" s="257" t="s">
        <v>1052</v>
      </c>
      <c r="B148" s="382" t="s">
        <v>1026</v>
      </c>
    </row>
    <row r="149" spans="1:2" ht="20.100000000000001" customHeight="1">
      <c r="A149" s="257" t="s">
        <v>1071</v>
      </c>
      <c r="B149" s="383" t="s">
        <v>1026</v>
      </c>
    </row>
    <row r="150" spans="1:2" ht="20.100000000000001" customHeight="1" thickBot="1">
      <c r="A150" s="267"/>
      <c r="B150" s="384">
        <f>SUM(B148:B149)</f>
        <v>0</v>
      </c>
    </row>
    <row r="151" spans="1:2" ht="20.100000000000001" customHeight="1" thickBot="1"/>
    <row r="152" spans="1:2" ht="20.100000000000001" customHeight="1">
      <c r="A152" s="767" t="s">
        <v>1072</v>
      </c>
      <c r="B152" s="768"/>
    </row>
    <row r="153" spans="1:2" ht="20.100000000000001" customHeight="1">
      <c r="A153" s="257" t="s">
        <v>1407</v>
      </c>
      <c r="B153" s="382">
        <v>2490</v>
      </c>
    </row>
    <row r="154" spans="1:2" ht="20.100000000000001" customHeight="1">
      <c r="A154" s="257" t="s">
        <v>1416</v>
      </c>
      <c r="B154" s="382">
        <v>6100</v>
      </c>
    </row>
    <row r="155" spans="1:2" ht="20.100000000000001" customHeight="1" thickBot="1">
      <c r="A155" s="267"/>
      <c r="B155" s="384">
        <f>SUM(B153:B154)</f>
        <v>8590</v>
      </c>
    </row>
    <row r="156" spans="1:2" ht="20.100000000000001" customHeight="1" thickBot="1"/>
    <row r="157" spans="1:2" ht="20.100000000000001" customHeight="1">
      <c r="A157" s="767" t="s">
        <v>1073</v>
      </c>
      <c r="B157" s="768"/>
    </row>
    <row r="158" spans="1:2" ht="20.100000000000001" customHeight="1">
      <c r="A158" s="257" t="s">
        <v>1074</v>
      </c>
      <c r="B158" s="382">
        <v>1200</v>
      </c>
    </row>
    <row r="159" spans="1:2" ht="20.100000000000001" customHeight="1">
      <c r="A159" s="257" t="s">
        <v>1075</v>
      </c>
      <c r="B159" s="382">
        <v>610</v>
      </c>
    </row>
    <row r="160" spans="1:2" ht="20.100000000000001" customHeight="1">
      <c r="A160" s="257" t="s">
        <v>1076</v>
      </c>
      <c r="B160" s="382">
        <v>950</v>
      </c>
    </row>
    <row r="161" spans="1:2" ht="20.100000000000001" customHeight="1">
      <c r="A161" s="257" t="s">
        <v>1077</v>
      </c>
      <c r="B161" s="382">
        <v>700</v>
      </c>
    </row>
    <row r="162" spans="1:2" ht="20.100000000000001" customHeight="1">
      <c r="A162" s="257" t="s">
        <v>1078</v>
      </c>
      <c r="B162" s="382">
        <v>1500</v>
      </c>
    </row>
    <row r="163" spans="1:2" ht="20.100000000000001" customHeight="1">
      <c r="A163" s="257" t="s">
        <v>1079</v>
      </c>
      <c r="B163" s="382">
        <f>+(30*Facades!D13)+(Facades!D14*2)+(Facades!D15*4)+(Facades!D16*2)</f>
        <v>4010</v>
      </c>
    </row>
    <row r="164" spans="1:2" ht="20.100000000000001" customHeight="1">
      <c r="A164" s="257" t="s">
        <v>1080</v>
      </c>
      <c r="B164" s="382">
        <v>3000</v>
      </c>
    </row>
    <row r="165" spans="1:2" ht="20.100000000000001" customHeight="1">
      <c r="A165" s="257" t="s">
        <v>841</v>
      </c>
      <c r="B165" s="383">
        <v>3300</v>
      </c>
    </row>
    <row r="166" spans="1:2" ht="20.100000000000001" customHeight="1" thickBot="1">
      <c r="A166" s="267"/>
      <c r="B166" s="384">
        <f>SUM(B158:B165)</f>
        <v>15270</v>
      </c>
    </row>
    <row r="169" spans="1:2">
      <c r="A169" t="str">
        <f>+A144</f>
        <v>Facade pricing July 2024</v>
      </c>
    </row>
    <row r="170" spans="1:2" ht="20.100000000000001" customHeight="1" thickBot="1"/>
    <row r="171" spans="1:2" ht="20.100000000000001" customHeight="1">
      <c r="A171" s="767" t="s">
        <v>1081</v>
      </c>
      <c r="B171" s="768"/>
    </row>
    <row r="172" spans="1:2" ht="20.100000000000001" customHeight="1">
      <c r="A172" s="257" t="s">
        <v>1035</v>
      </c>
      <c r="B172" s="382">
        <v>950</v>
      </c>
    </row>
    <row r="173" spans="1:2" ht="20.100000000000001" customHeight="1">
      <c r="A173" s="257" t="s">
        <v>1082</v>
      </c>
      <c r="B173" s="382">
        <v>16800</v>
      </c>
    </row>
    <row r="174" spans="1:2" ht="20.100000000000001" customHeight="1">
      <c r="A174" s="257" t="s">
        <v>1083</v>
      </c>
      <c r="B174" s="383">
        <v>3200</v>
      </c>
    </row>
    <row r="175" spans="1:2" ht="20.100000000000001" customHeight="1" thickBot="1">
      <c r="A175" s="267"/>
      <c r="B175" s="384">
        <f>SUM(B172:B174)</f>
        <v>20950</v>
      </c>
    </row>
    <row r="176" spans="1:2" ht="20.100000000000001" customHeight="1" thickBot="1"/>
    <row r="177" spans="1:2" ht="20.100000000000001" customHeight="1">
      <c r="A177" s="767" t="s">
        <v>1084</v>
      </c>
      <c r="B177" s="768"/>
    </row>
    <row r="178" spans="1:2" ht="20.100000000000001" customHeight="1">
      <c r="A178" s="257" t="s">
        <v>1085</v>
      </c>
      <c r="B178" s="382">
        <v>2200</v>
      </c>
    </row>
    <row r="179" spans="1:2" ht="20.100000000000001" customHeight="1">
      <c r="A179" s="257" t="s">
        <v>1086</v>
      </c>
      <c r="B179" s="383">
        <f>+B23</f>
        <v>5500</v>
      </c>
    </row>
    <row r="180" spans="1:2" ht="20.100000000000001" customHeight="1" thickBot="1">
      <c r="A180" s="267"/>
      <c r="B180" s="384">
        <f>SUM(B178:B179)</f>
        <v>7700</v>
      </c>
    </row>
    <row r="181" spans="1:2" ht="20.100000000000001" customHeight="1" thickBot="1"/>
    <row r="182" spans="1:2" ht="20.100000000000001" customHeight="1">
      <c r="A182" s="767" t="s">
        <v>1087</v>
      </c>
      <c r="B182" s="768"/>
    </row>
    <row r="183" spans="1:2" ht="20.100000000000001" customHeight="1">
      <c r="A183" s="257" t="s">
        <v>1088</v>
      </c>
      <c r="B183" s="382">
        <v>5800</v>
      </c>
    </row>
    <row r="184" spans="1:2" ht="20.100000000000001" customHeight="1">
      <c r="A184" s="257" t="s">
        <v>1089</v>
      </c>
      <c r="B184" s="382">
        <f>25*3*Facades!D13+6*Facades!D14+5*Facades!D15+3*Facades!D16</f>
        <v>9025</v>
      </c>
    </row>
    <row r="185" spans="1:2" ht="20.100000000000001" customHeight="1">
      <c r="A185" s="257" t="s">
        <v>841</v>
      </c>
      <c r="B185" s="382">
        <v>3300</v>
      </c>
    </row>
    <row r="186" spans="1:2" ht="20.100000000000001" customHeight="1">
      <c r="A186" s="257" t="s">
        <v>1037</v>
      </c>
      <c r="B186" s="382">
        <v>350</v>
      </c>
    </row>
    <row r="187" spans="1:2" ht="20.100000000000001" customHeight="1">
      <c r="A187" s="257" t="s">
        <v>145</v>
      </c>
      <c r="B187" s="382">
        <v>800</v>
      </c>
    </row>
    <row r="188" spans="1:2" ht="20.100000000000001" customHeight="1">
      <c r="A188" s="257" t="s">
        <v>1032</v>
      </c>
      <c r="B188" s="383">
        <f>+(('Windows &amp; Sliding Doors'!J16*4-'Windows &amp; Sliding Doors'!D16*4)+'Windows &amp; Sliding Doors'!J18-'Windows &amp; Sliding Doors'!D18)</f>
        <v>1835</v>
      </c>
    </row>
    <row r="189" spans="1:2" ht="20.100000000000001" customHeight="1" thickBot="1">
      <c r="A189" s="267"/>
      <c r="B189" s="384">
        <f>SUM(B183:B188)</f>
        <v>21110</v>
      </c>
    </row>
    <row r="190" spans="1:2" ht="20.100000000000001" customHeight="1" thickBot="1"/>
    <row r="191" spans="1:2" ht="20.100000000000001" customHeight="1">
      <c r="A191" s="767" t="s">
        <v>1090</v>
      </c>
      <c r="B191" s="768"/>
    </row>
    <row r="192" spans="1:2" ht="20.100000000000001" customHeight="1">
      <c r="A192" s="257" t="s">
        <v>1091</v>
      </c>
      <c r="B192" s="382">
        <v>800</v>
      </c>
    </row>
    <row r="193" spans="1:7" ht="20.100000000000001" customHeight="1">
      <c r="A193" s="257" t="s">
        <v>1416</v>
      </c>
      <c r="B193" s="382">
        <v>5900</v>
      </c>
    </row>
    <row r="194" spans="1:7" ht="20.100000000000001" customHeight="1">
      <c r="A194" s="257" t="s">
        <v>841</v>
      </c>
      <c r="B194" s="382">
        <v>3300</v>
      </c>
    </row>
    <row r="195" spans="1:7" ht="20.100000000000001" customHeight="1">
      <c r="A195" s="257" t="s">
        <v>1417</v>
      </c>
      <c r="B195" s="382">
        <f>900*2</f>
        <v>1800</v>
      </c>
    </row>
    <row r="196" spans="1:7" ht="20.100000000000001" customHeight="1">
      <c r="A196" s="257" t="s">
        <v>1089</v>
      </c>
      <c r="B196" s="397">
        <f>+B135</f>
        <v>3280</v>
      </c>
    </row>
    <row r="197" spans="1:7" ht="20.100000000000001" customHeight="1">
      <c r="A197" s="257" t="s">
        <v>1061</v>
      </c>
      <c r="B197" s="383">
        <f>+'Windows &amp; Sliding Doors'!P16*4-'Windows &amp; Sliding Doors'!D16*4+'Windows &amp; Sliding Doors'!P18-'Windows &amp; Sliding Doors'!D18</f>
        <v>3540</v>
      </c>
    </row>
    <row r="198" spans="1:7" ht="18" customHeight="1" thickBot="1">
      <c r="A198" s="267"/>
      <c r="B198" s="384">
        <f>SUM(B192:B197)</f>
        <v>18620</v>
      </c>
    </row>
    <row r="201" spans="1:7">
      <c r="A201" t="str">
        <f>+A169</f>
        <v>Facade pricing July 2024</v>
      </c>
    </row>
    <row r="202" spans="1:7" ht="15.75" thickBot="1"/>
    <row r="203" spans="1:7" ht="20.100000000000001" customHeight="1">
      <c r="A203" s="767" t="s">
        <v>1154</v>
      </c>
      <c r="B203" s="768"/>
    </row>
    <row r="204" spans="1:7" ht="20.100000000000001" customHeight="1">
      <c r="A204" s="257" t="s">
        <v>1418</v>
      </c>
      <c r="B204" s="382">
        <f>+'Sandown 32 Display'!D203+'Sandown 32 Display'!D204</f>
        <v>13540</v>
      </c>
    </row>
    <row r="205" spans="1:7" ht="20.100000000000001" customHeight="1">
      <c r="A205" s="257" t="s">
        <v>1155</v>
      </c>
      <c r="B205" s="382">
        <f>+'Sandown 32 Display'!D205</f>
        <v>810</v>
      </c>
    </row>
    <row r="206" spans="1:7" ht="20.100000000000001" customHeight="1">
      <c r="A206" s="257" t="s">
        <v>1156</v>
      </c>
      <c r="B206" s="382">
        <f>+'Sandown 32 Display'!D207</f>
        <v>3900</v>
      </c>
    </row>
    <row r="207" spans="1:7" ht="20.100000000000001" customHeight="1">
      <c r="A207" s="257" t="s">
        <v>1032</v>
      </c>
      <c r="B207" s="383">
        <f>+SUM('Sandown 32 Display'!D210:D214)</f>
        <v>2125</v>
      </c>
      <c r="G207" s="398"/>
    </row>
    <row r="208" spans="1:7" ht="20.100000000000001" customHeight="1" thickBot="1">
      <c r="A208" s="267"/>
      <c r="B208" s="384">
        <f>SUM(B204:B207)</f>
        <v>20375</v>
      </c>
    </row>
    <row r="210" spans="1:2">
      <c r="A210" t="str">
        <f>+A169</f>
        <v>Facade pricing July 2024</v>
      </c>
    </row>
    <row r="212" spans="1:2" ht="20.100000000000001" customHeight="1" thickBot="1">
      <c r="B212" s="395"/>
    </row>
    <row r="213" spans="1:2" ht="20.100000000000001" customHeight="1">
      <c r="A213" s="767" t="s">
        <v>1157</v>
      </c>
      <c r="B213" s="768"/>
    </row>
    <row r="214" spans="1:2" ht="20.100000000000001" customHeight="1">
      <c r="A214" s="257" t="s">
        <v>1032</v>
      </c>
      <c r="B214" s="382">
        <f>CEILING(1.5*('Windows &amp; Sliding Doors'!P16-'Windows &amp; Sliding Doors'!D16),10)</f>
        <v>1050</v>
      </c>
    </row>
    <row r="215" spans="1:2" ht="20.100000000000001" customHeight="1">
      <c r="A215" s="257" t="s">
        <v>1047</v>
      </c>
      <c r="B215" s="382">
        <f>+CEILING((Facades!D13*30+Facades!D14+2*Facades!D15+Facades!D16),50)</f>
        <v>3300</v>
      </c>
    </row>
    <row r="216" spans="1:2" ht="20.100000000000001" customHeight="1">
      <c r="A216" s="257" t="s">
        <v>1161</v>
      </c>
      <c r="B216" s="382">
        <f>+B183</f>
        <v>5800</v>
      </c>
    </row>
    <row r="217" spans="1:2" ht="20.100000000000001" customHeight="1">
      <c r="A217" s="257" t="s">
        <v>1162</v>
      </c>
      <c r="B217" s="382">
        <f>+'House extension'!D27*2-'House extension'!D37</f>
        <v>1215</v>
      </c>
    </row>
    <row r="218" spans="1:2" ht="20.100000000000001" customHeight="1" thickBot="1">
      <c r="A218" s="267"/>
      <c r="B218" s="396">
        <f>SUM(B214:B217)</f>
        <v>11365</v>
      </c>
    </row>
    <row r="219" spans="1:2" ht="20.100000000000001" customHeight="1" thickBot="1">
      <c r="B219" s="395"/>
    </row>
    <row r="220" spans="1:2" ht="20.100000000000001" customHeight="1">
      <c r="A220" s="767" t="s">
        <v>1160</v>
      </c>
      <c r="B220" s="768"/>
    </row>
    <row r="221" spans="1:2" ht="20.100000000000001" customHeight="1">
      <c r="A221" s="257" t="s">
        <v>1032</v>
      </c>
      <c r="B221" s="382">
        <f>+B214</f>
        <v>1050</v>
      </c>
    </row>
    <row r="222" spans="1:2" ht="20.100000000000001" customHeight="1">
      <c r="A222" s="257" t="s">
        <v>1047</v>
      </c>
      <c r="B222" s="382">
        <f>+B215</f>
        <v>3300</v>
      </c>
    </row>
    <row r="223" spans="1:2" ht="20.100000000000001" customHeight="1">
      <c r="A223" s="257" t="s">
        <v>1161</v>
      </c>
      <c r="B223" s="382">
        <f>+B216</f>
        <v>5800</v>
      </c>
    </row>
    <row r="224" spans="1:2" ht="20.100000000000001" customHeight="1">
      <c r="A224" s="257" t="s">
        <v>1162</v>
      </c>
      <c r="B224" s="382">
        <f>+B217</f>
        <v>1215</v>
      </c>
    </row>
    <row r="225" spans="1:2" ht="20.100000000000001" customHeight="1">
      <c r="A225" s="257" t="s">
        <v>1163</v>
      </c>
      <c r="B225" s="382">
        <v>800</v>
      </c>
    </row>
    <row r="226" spans="1:2" ht="20.100000000000001" customHeight="1" thickBot="1">
      <c r="A226" s="267"/>
      <c r="B226" s="396">
        <f>SUM(B221:B225)</f>
        <v>12165</v>
      </c>
    </row>
    <row r="227" spans="1:2" ht="20.100000000000001" customHeight="1" thickBot="1">
      <c r="B227" s="395"/>
    </row>
    <row r="228" spans="1:2" ht="20.100000000000001" customHeight="1">
      <c r="A228" s="767" t="s">
        <v>1164</v>
      </c>
      <c r="B228" s="768"/>
    </row>
    <row r="229" spans="1:2" ht="20.100000000000001" customHeight="1">
      <c r="A229" s="257" t="s">
        <v>1032</v>
      </c>
      <c r="B229" s="382">
        <f>+B221</f>
        <v>1050</v>
      </c>
    </row>
    <row r="230" spans="1:2" ht="20.100000000000001" customHeight="1">
      <c r="A230" s="257" t="s">
        <v>1047</v>
      </c>
      <c r="B230" s="382">
        <f>+B222</f>
        <v>3300</v>
      </c>
    </row>
    <row r="231" spans="1:2" ht="20.100000000000001" customHeight="1">
      <c r="A231" s="257" t="s">
        <v>1161</v>
      </c>
      <c r="B231" s="382">
        <f>+B223</f>
        <v>5800</v>
      </c>
    </row>
    <row r="232" spans="1:2" ht="20.100000000000001" customHeight="1">
      <c r="A232" s="257" t="s">
        <v>1162</v>
      </c>
      <c r="B232" s="382">
        <f>+B224</f>
        <v>1215</v>
      </c>
    </row>
    <row r="233" spans="1:2" ht="20.100000000000001" customHeight="1">
      <c r="A233" s="257" t="s">
        <v>1165</v>
      </c>
      <c r="B233" s="382">
        <v>5500</v>
      </c>
    </row>
    <row r="234" spans="1:2" ht="20.100000000000001" customHeight="1" thickBot="1">
      <c r="A234" s="267"/>
      <c r="B234" s="396">
        <f>SUM(B229:B233)</f>
        <v>16865</v>
      </c>
    </row>
    <row r="235" spans="1:2" ht="20.100000000000001" customHeight="1" thickBot="1">
      <c r="B235" s="395"/>
    </row>
    <row r="236" spans="1:2" ht="20.100000000000001" customHeight="1">
      <c r="A236" s="767" t="s">
        <v>1158</v>
      </c>
      <c r="B236" s="768"/>
    </row>
    <row r="237" spans="1:2" ht="20.100000000000001" customHeight="1">
      <c r="A237" s="257" t="s">
        <v>1032</v>
      </c>
      <c r="B237" s="382">
        <f>+B229</f>
        <v>1050</v>
      </c>
    </row>
    <row r="238" spans="1:2" ht="20.100000000000001" customHeight="1">
      <c r="A238" s="257" t="s">
        <v>1044</v>
      </c>
      <c r="B238" s="382">
        <v>360</v>
      </c>
    </row>
    <row r="239" spans="1:2" ht="20.100000000000001" customHeight="1">
      <c r="A239" s="257" t="s">
        <v>1045</v>
      </c>
      <c r="B239" s="382">
        <v>950</v>
      </c>
    </row>
    <row r="240" spans="1:2" ht="20.100000000000001" customHeight="1">
      <c r="A240" s="257" t="s">
        <v>1046</v>
      </c>
      <c r="B240" s="397">
        <f>+B73</f>
        <v>3700</v>
      </c>
    </row>
    <row r="241" spans="1:8" ht="20.100000000000001" customHeight="1">
      <c r="A241" s="257" t="s">
        <v>1047</v>
      </c>
      <c r="B241" s="382">
        <f>+CEILING((30*Facades!D13+Facades!D14+Facades!D15+Facades!D15+Facades!D16),50)</f>
        <v>3300</v>
      </c>
    </row>
    <row r="242" spans="1:8" ht="20.100000000000001" customHeight="1">
      <c r="A242" s="257" t="s">
        <v>1035</v>
      </c>
      <c r="B242" s="383">
        <f>+B75</f>
        <v>1315</v>
      </c>
      <c r="H242" s="399"/>
    </row>
    <row r="243" spans="1:8" ht="20.100000000000001" customHeight="1" thickBot="1">
      <c r="A243" s="267"/>
      <c r="B243" s="384">
        <f>SUM(B237:B242)</f>
        <v>10675</v>
      </c>
    </row>
    <row r="244" spans="1:8" ht="20.100000000000001" customHeight="1" thickBot="1"/>
    <row r="245" spans="1:8" ht="20.100000000000001" customHeight="1">
      <c r="A245" s="767" t="s">
        <v>1159</v>
      </c>
      <c r="B245" s="768"/>
    </row>
    <row r="246" spans="1:8" ht="20.100000000000001" customHeight="1" thickBot="1">
      <c r="A246" s="267" t="s">
        <v>1170</v>
      </c>
      <c r="B246" s="384">
        <f>+B234</f>
        <v>16865</v>
      </c>
    </row>
    <row r="248" spans="1:8">
      <c r="A248" t="str">
        <f>+A210</f>
        <v>Facade pricing July 2024</v>
      </c>
    </row>
    <row r="250" spans="1:8" ht="20.100000000000001" customHeight="1" thickBot="1"/>
    <row r="251" spans="1:8" ht="20.100000000000001" customHeight="1">
      <c r="A251" s="767" t="s">
        <v>1171</v>
      </c>
      <c r="B251" s="768"/>
    </row>
    <row r="252" spans="1:8" ht="20.100000000000001" customHeight="1">
      <c r="A252" s="257" t="s">
        <v>1035</v>
      </c>
      <c r="B252" s="397">
        <f>CEILING((1.8*'House extension'!D25+1.6*'House extension'!D26+1.6*'House extension'!D29+0.8*'House extension'!D14+1.6*'House extension'!D17),50)</f>
        <v>900</v>
      </c>
    </row>
    <row r="253" spans="1:8" ht="20.100000000000001" customHeight="1">
      <c r="A253" s="257" t="s">
        <v>1419</v>
      </c>
      <c r="B253" s="397">
        <f>+'Inglewood 42 Display'!D205</f>
        <v>5200</v>
      </c>
    </row>
    <row r="254" spans="1:8" ht="20.100000000000001" customHeight="1">
      <c r="A254" s="257" t="s">
        <v>1172</v>
      </c>
      <c r="B254" s="397">
        <f>CEILING(((11+10)*'House extension'!D33+2*'House extension'!D34+6*'House extension'!D37),50)</f>
        <v>11300</v>
      </c>
    </row>
    <row r="255" spans="1:8" ht="20.100000000000001" customHeight="1">
      <c r="A255" s="257" t="s">
        <v>1169</v>
      </c>
      <c r="B255" s="397">
        <f>CEILING((3*('Windows &amp; Sliding Doors'!P16-'Windows &amp; Sliding Doors'!D16)+('Windows &amp; Sliding Doors'!P18-'Windows &amp; Sliding Doors'!D18)),50)</f>
        <v>2850</v>
      </c>
    </row>
    <row r="256" spans="1:8" ht="20.100000000000001" customHeight="1" thickBot="1">
      <c r="A256" s="267"/>
      <c r="B256" s="396">
        <f>SUM(B252:B255)</f>
        <v>20250</v>
      </c>
    </row>
    <row r="257" spans="1:2" ht="20.100000000000001" customHeight="1" thickBot="1"/>
    <row r="258" spans="1:2" ht="20.100000000000001" customHeight="1">
      <c r="A258" s="767" t="s">
        <v>1173</v>
      </c>
      <c r="B258" s="768"/>
    </row>
    <row r="259" spans="1:2" ht="20.100000000000001" customHeight="1">
      <c r="A259" s="257" t="s">
        <v>1035</v>
      </c>
      <c r="B259" s="397">
        <f>+B252</f>
        <v>900</v>
      </c>
    </row>
    <row r="260" spans="1:2" ht="20.100000000000001" customHeight="1">
      <c r="A260" s="257" t="s">
        <v>1419</v>
      </c>
      <c r="B260" s="397">
        <f>+B253</f>
        <v>5200</v>
      </c>
    </row>
    <row r="261" spans="1:2" ht="20.100000000000001" customHeight="1">
      <c r="A261" s="257" t="s">
        <v>1172</v>
      </c>
      <c r="B261" s="397">
        <f>CEILING(((12+10)*'House extension'!D33+2*'House extension'!D34+6*'House extension'!D37),50)</f>
        <v>11700</v>
      </c>
    </row>
    <row r="262" spans="1:2" ht="20.100000000000001" customHeight="1">
      <c r="A262" s="257" t="s">
        <v>1169</v>
      </c>
      <c r="B262" s="397">
        <f>CEILING((3*('Windows &amp; Sliding Doors'!P16-'Windows &amp; Sliding Doors'!D16)+('Windows &amp; Sliding Doors'!P18-'Windows &amp; Sliding Doors'!D18)+('Windows &amp; Sliding Doors'!P14-'Windows &amp; Sliding Doors'!J14)),50)</f>
        <v>3150</v>
      </c>
    </row>
    <row r="263" spans="1:2" ht="20.100000000000001" customHeight="1" thickBot="1">
      <c r="A263" s="267"/>
      <c r="B263" s="396">
        <f>SUM(B259:B262)</f>
        <v>20950</v>
      </c>
    </row>
    <row r="264" spans="1:2" ht="20.100000000000001" customHeight="1" thickBot="1"/>
    <row r="265" spans="1:2" ht="20.100000000000001" customHeight="1">
      <c r="A265" s="767" t="s">
        <v>1174</v>
      </c>
      <c r="B265" s="768"/>
    </row>
    <row r="266" spans="1:2" ht="20.100000000000001" customHeight="1">
      <c r="A266" s="257" t="s">
        <v>1035</v>
      </c>
      <c r="B266" s="397">
        <f>+B259</f>
        <v>900</v>
      </c>
    </row>
    <row r="267" spans="1:2" ht="20.100000000000001" customHeight="1">
      <c r="A267" s="257" t="s">
        <v>1419</v>
      </c>
      <c r="B267" s="397">
        <f>+B260</f>
        <v>5200</v>
      </c>
    </row>
    <row r="268" spans="1:2" ht="20.100000000000001" customHeight="1">
      <c r="A268" s="257" t="s">
        <v>1172</v>
      </c>
      <c r="B268" s="397">
        <f>+B261</f>
        <v>11700</v>
      </c>
    </row>
    <row r="269" spans="1:2" ht="20.100000000000001" customHeight="1">
      <c r="A269" s="257" t="s">
        <v>1169</v>
      </c>
      <c r="B269" s="397">
        <f>+B262</f>
        <v>3150</v>
      </c>
    </row>
    <row r="270" spans="1:2" ht="20.100000000000001" customHeight="1" thickBot="1">
      <c r="A270" s="267"/>
      <c r="B270" s="396">
        <f>SUM(B266:B269)</f>
        <v>20950</v>
      </c>
    </row>
    <row r="271" spans="1:2" ht="20.100000000000001" customHeight="1" thickBot="1"/>
    <row r="272" spans="1:2" ht="20.100000000000001" customHeight="1">
      <c r="A272" s="767" t="s">
        <v>1175</v>
      </c>
      <c r="B272" s="768"/>
    </row>
    <row r="273" spans="1:2" ht="20.100000000000001" customHeight="1">
      <c r="A273" s="257" t="s">
        <v>1035</v>
      </c>
      <c r="B273" s="397">
        <f>+CEILING((4.5*'House extension'!D25+2.4*'House extension'!D26+2.4*'House extension'!D29),50)</f>
        <v>1450</v>
      </c>
    </row>
    <row r="274" spans="1:2" ht="20.100000000000001" customHeight="1">
      <c r="A274" s="257" t="s">
        <v>1419</v>
      </c>
      <c r="B274" s="397">
        <f>+B267</f>
        <v>5200</v>
      </c>
    </row>
    <row r="275" spans="1:2" ht="20.100000000000001" customHeight="1">
      <c r="A275" s="257" t="s">
        <v>1176</v>
      </c>
      <c r="B275" s="397">
        <f>+CEILING((34*'House extension'!D33+2*'House extension'!D34+2*'House extension'!D35+7*'House extension'!D37),50)</f>
        <v>17400</v>
      </c>
    </row>
    <row r="276" spans="1:2" ht="20.100000000000001" customHeight="1">
      <c r="A276" s="257" t="s">
        <v>1169</v>
      </c>
      <c r="B276" s="397">
        <f>+CEILING((4*('Windows &amp; Sliding Doors'!P15-'Windows &amp; Sliding Doors'!D15)+'Windows &amp; Sliding Doors'!P14+'Windows &amp; Sliding Doors'!P15-'Windows &amp; Sliding Doors'!D18+'Windows &amp; Sliding Doors'!P14-'Windows &amp; Sliding Doors'!J14),50)</f>
        <v>3200</v>
      </c>
    </row>
    <row r="277" spans="1:2" ht="20.100000000000001" customHeight="1" thickBot="1">
      <c r="A277" s="267"/>
      <c r="B277" s="396">
        <f>SUM(B273:B276)</f>
        <v>27250</v>
      </c>
    </row>
    <row r="279" spans="1:2">
      <c r="A279" t="str">
        <f>+A248</f>
        <v>Facade pricing July 2024</v>
      </c>
    </row>
    <row r="281" spans="1:2" ht="20.100000000000001" customHeight="1" thickBot="1"/>
    <row r="282" spans="1:2" ht="20.100000000000001" customHeight="1">
      <c r="A282" s="767" t="s">
        <v>1177</v>
      </c>
      <c r="B282" s="768"/>
    </row>
    <row r="283" spans="1:2" ht="20.100000000000001" customHeight="1">
      <c r="A283" s="257" t="s">
        <v>1035</v>
      </c>
      <c r="B283" s="397">
        <f>+B273</f>
        <v>1450</v>
      </c>
    </row>
    <row r="284" spans="1:2" ht="20.100000000000001" customHeight="1">
      <c r="A284" s="257" t="s">
        <v>1419</v>
      </c>
      <c r="B284" s="397">
        <f>+B274</f>
        <v>5200</v>
      </c>
    </row>
    <row r="285" spans="1:2" ht="20.100000000000001" customHeight="1">
      <c r="A285" s="257" t="s">
        <v>1178</v>
      </c>
      <c r="B285" s="397">
        <f>+B268</f>
        <v>11700</v>
      </c>
    </row>
    <row r="286" spans="1:2" ht="20.100000000000001" customHeight="1">
      <c r="A286" s="257" t="s">
        <v>1169</v>
      </c>
      <c r="B286" s="397">
        <f>+CEILING((4*('Windows &amp; Sliding Doors'!P16-'Windows &amp; Sliding Doors'!D16)+'Windows &amp; Sliding Doors'!P14+'Windows &amp; Sliding Doors'!P16-'Windows &amp; Sliding Doors'!D18-'Windows &amp; Sliding Doors'!D17+'Windows &amp; Sliding Doors'!J14+'Windows &amp; Sliding Doors'!J14),50)</f>
        <v>4500</v>
      </c>
    </row>
    <row r="287" spans="1:2" ht="20.100000000000001" customHeight="1" thickBot="1">
      <c r="A287" s="267"/>
      <c r="B287" s="396">
        <f>SUM(B283:B286)</f>
        <v>22850</v>
      </c>
    </row>
    <row r="288" spans="1:2" ht="20.100000000000001" customHeight="1" thickBot="1"/>
    <row r="289" spans="1:2" ht="20.100000000000001" customHeight="1">
      <c r="A289" s="767" t="s">
        <v>1179</v>
      </c>
      <c r="B289" s="768"/>
    </row>
    <row r="290" spans="1:2" ht="20.100000000000001" customHeight="1">
      <c r="A290" s="257" t="s">
        <v>1035</v>
      </c>
      <c r="B290" s="397">
        <f>+B273</f>
        <v>1450</v>
      </c>
    </row>
    <row r="291" spans="1:2" ht="20.100000000000001" customHeight="1">
      <c r="A291" s="257" t="s">
        <v>1419</v>
      </c>
      <c r="B291" s="397">
        <f>+B274</f>
        <v>5200</v>
      </c>
    </row>
    <row r="292" spans="1:2" ht="20.100000000000001" customHeight="1">
      <c r="A292" s="257" t="s">
        <v>1178</v>
      </c>
      <c r="B292" s="397">
        <f>+B275</f>
        <v>17400</v>
      </c>
    </row>
    <row r="293" spans="1:2" ht="20.100000000000001" customHeight="1">
      <c r="A293" s="257" t="s">
        <v>1169</v>
      </c>
      <c r="B293" s="397">
        <f>+B276</f>
        <v>3200</v>
      </c>
    </row>
    <row r="294" spans="1:2" ht="19.5" customHeight="1" thickBot="1">
      <c r="A294" s="267"/>
      <c r="B294" s="396">
        <f>SUM(B290:B293)</f>
        <v>27250</v>
      </c>
    </row>
    <row r="296" spans="1:2">
      <c r="A296" t="str">
        <f>+A279</f>
        <v>Facade pricing July 2024</v>
      </c>
    </row>
    <row r="298" spans="1:2" ht="20.100000000000001" customHeight="1" thickBot="1"/>
    <row r="299" spans="1:2" ht="20.100000000000001" customHeight="1">
      <c r="A299" s="767" t="s">
        <v>1180</v>
      </c>
      <c r="B299" s="768"/>
    </row>
    <row r="300" spans="1:2" ht="20.100000000000001" customHeight="1">
      <c r="A300" s="257" t="s">
        <v>1035</v>
      </c>
      <c r="B300" s="397">
        <f>+B252</f>
        <v>900</v>
      </c>
    </row>
    <row r="301" spans="1:2" ht="20.100000000000001" customHeight="1">
      <c r="A301" s="257" t="s">
        <v>1419</v>
      </c>
      <c r="B301" s="397">
        <f>+B253</f>
        <v>5200</v>
      </c>
    </row>
    <row r="302" spans="1:2" ht="20.100000000000001" customHeight="1">
      <c r="A302" s="257" t="s">
        <v>1172</v>
      </c>
      <c r="B302" s="397">
        <f>+B254</f>
        <v>11300</v>
      </c>
    </row>
    <row r="303" spans="1:2" ht="20.100000000000001" customHeight="1">
      <c r="A303" s="257" t="s">
        <v>1169</v>
      </c>
      <c r="B303" s="397">
        <f>+B255</f>
        <v>2850</v>
      </c>
    </row>
    <row r="304" spans="1:2" ht="20.100000000000001" customHeight="1">
      <c r="A304" s="257" t="s">
        <v>1181</v>
      </c>
      <c r="B304" s="397">
        <f>+CEILING((45*Facades!D13+3*Facades!D14+4*Facades!D15+4*Facades!D16),50)</f>
        <v>6000</v>
      </c>
    </row>
    <row r="305" spans="1:2" ht="20.100000000000001" customHeight="1" thickBot="1">
      <c r="A305" s="267"/>
      <c r="B305" s="396">
        <f>SUM(B300:B304)</f>
        <v>26250</v>
      </c>
    </row>
    <row r="306" spans="1:2" ht="20.100000000000001" customHeight="1" thickBot="1"/>
    <row r="307" spans="1:2" ht="20.100000000000001" customHeight="1">
      <c r="A307" s="767" t="s">
        <v>1182</v>
      </c>
      <c r="B307" s="768"/>
    </row>
    <row r="308" spans="1:2" ht="20.100000000000001" customHeight="1">
      <c r="A308" s="257" t="s">
        <v>1035</v>
      </c>
      <c r="B308" s="397">
        <f>+B259</f>
        <v>900</v>
      </c>
    </row>
    <row r="309" spans="1:2" ht="20.100000000000001" customHeight="1">
      <c r="A309" s="257" t="s">
        <v>1419</v>
      </c>
      <c r="B309" s="397">
        <f>+B260</f>
        <v>5200</v>
      </c>
    </row>
    <row r="310" spans="1:2" ht="20.100000000000001" customHeight="1">
      <c r="A310" s="257" t="s">
        <v>1172</v>
      </c>
      <c r="B310" s="397">
        <f>+B261</f>
        <v>11700</v>
      </c>
    </row>
    <row r="311" spans="1:2" ht="20.100000000000001" customHeight="1">
      <c r="A311" s="257" t="s">
        <v>1169</v>
      </c>
      <c r="B311" s="397">
        <f>+B262</f>
        <v>3150</v>
      </c>
    </row>
    <row r="312" spans="1:2" ht="20.100000000000001" customHeight="1">
      <c r="A312" s="257" t="s">
        <v>1181</v>
      </c>
      <c r="B312" s="397">
        <f>+B304</f>
        <v>6000</v>
      </c>
    </row>
    <row r="313" spans="1:2" ht="20.100000000000001" customHeight="1" thickBot="1">
      <c r="A313" s="267"/>
      <c r="B313" s="396">
        <f>SUM(B308:B312)</f>
        <v>26950</v>
      </c>
    </row>
    <row r="314" spans="1:2" ht="20.100000000000001" customHeight="1" thickBot="1"/>
    <row r="315" spans="1:2" ht="20.100000000000001" customHeight="1">
      <c r="A315" s="767" t="s">
        <v>1183</v>
      </c>
      <c r="B315" s="768"/>
    </row>
    <row r="316" spans="1:2" ht="20.100000000000001" customHeight="1">
      <c r="A316" s="257" t="s">
        <v>1035</v>
      </c>
      <c r="B316" s="397">
        <f>+B308</f>
        <v>900</v>
      </c>
    </row>
    <row r="317" spans="1:2" ht="20.100000000000001" customHeight="1">
      <c r="A317" s="257" t="s">
        <v>1419</v>
      </c>
      <c r="B317" s="397">
        <f>+B309</f>
        <v>5200</v>
      </c>
    </row>
    <row r="318" spans="1:2" ht="20.100000000000001" customHeight="1">
      <c r="A318" s="257" t="s">
        <v>1172</v>
      </c>
      <c r="B318" s="397">
        <f>+B310</f>
        <v>11700</v>
      </c>
    </row>
    <row r="319" spans="1:2" ht="20.100000000000001" customHeight="1">
      <c r="A319" s="257" t="s">
        <v>1169</v>
      </c>
      <c r="B319" s="397">
        <f>+B311</f>
        <v>3150</v>
      </c>
    </row>
    <row r="320" spans="1:2" ht="20.100000000000001" customHeight="1">
      <c r="A320" s="257" t="s">
        <v>1181</v>
      </c>
      <c r="B320" s="397">
        <f>+B312</f>
        <v>6000</v>
      </c>
    </row>
    <row r="321" spans="1:2" ht="20.100000000000001" customHeight="1" thickBot="1">
      <c r="A321" s="267"/>
      <c r="B321" s="396">
        <f>SUM(B316:B320)</f>
        <v>26950</v>
      </c>
    </row>
    <row r="322" spans="1:2" ht="20.100000000000001" customHeight="1" thickBot="1"/>
    <row r="323" spans="1:2" ht="20.100000000000001" customHeight="1">
      <c r="A323" s="767" t="s">
        <v>1184</v>
      </c>
      <c r="B323" s="768"/>
    </row>
    <row r="324" spans="1:2" ht="20.100000000000001" customHeight="1">
      <c r="A324" s="257" t="s">
        <v>1035</v>
      </c>
      <c r="B324" s="397">
        <f>+B273</f>
        <v>1450</v>
      </c>
    </row>
    <row r="325" spans="1:2" ht="20.100000000000001" customHeight="1">
      <c r="A325" s="257" t="s">
        <v>1419</v>
      </c>
      <c r="B325" s="397">
        <f>+B274</f>
        <v>5200</v>
      </c>
    </row>
    <row r="326" spans="1:2" ht="20.100000000000001" customHeight="1">
      <c r="A326" s="257" t="s">
        <v>1176</v>
      </c>
      <c r="B326" s="397">
        <f>+B275</f>
        <v>17400</v>
      </c>
    </row>
    <row r="327" spans="1:2" ht="20.100000000000001" customHeight="1">
      <c r="A327" s="257" t="s">
        <v>1169</v>
      </c>
      <c r="B327" s="397">
        <f>+B276</f>
        <v>3200</v>
      </c>
    </row>
    <row r="328" spans="1:2" ht="20.100000000000001" customHeight="1">
      <c r="A328" s="257" t="s">
        <v>1181</v>
      </c>
      <c r="B328" s="397">
        <f>CEILING(((27*3)*Facades!D13+7*Facades!D14+5*Facades!D15+4*Facades!D16),50)</f>
        <v>10000</v>
      </c>
    </row>
    <row r="329" spans="1:2" ht="20.100000000000001" customHeight="1" thickBot="1">
      <c r="A329" s="267"/>
      <c r="B329" s="396">
        <f>SUM(B324:B328)</f>
        <v>37250</v>
      </c>
    </row>
    <row r="331" spans="1:2">
      <c r="A331" t="str">
        <f>+A296</f>
        <v>Facade pricing July 2024</v>
      </c>
    </row>
    <row r="333" spans="1:2" ht="19.5" customHeight="1" thickBot="1"/>
    <row r="334" spans="1:2" ht="20.100000000000001" customHeight="1">
      <c r="A334" s="767" t="s">
        <v>1185</v>
      </c>
      <c r="B334" s="768"/>
    </row>
    <row r="335" spans="1:2" ht="20.100000000000001" customHeight="1">
      <c r="A335" s="257" t="s">
        <v>1035</v>
      </c>
      <c r="B335" s="397">
        <f>+B283</f>
        <v>1450</v>
      </c>
    </row>
    <row r="336" spans="1:2" ht="20.100000000000001" customHeight="1">
      <c r="A336" s="257" t="s">
        <v>1419</v>
      </c>
      <c r="B336" s="397">
        <f>+B284</f>
        <v>5200</v>
      </c>
    </row>
    <row r="337" spans="1:2" ht="20.100000000000001" customHeight="1">
      <c r="A337" s="257" t="s">
        <v>1178</v>
      </c>
      <c r="B337" s="397">
        <f>+B285</f>
        <v>11700</v>
      </c>
    </row>
    <row r="338" spans="1:2" ht="20.100000000000001" customHeight="1">
      <c r="A338" s="257" t="s">
        <v>1169</v>
      </c>
      <c r="B338" s="397">
        <f>+B286</f>
        <v>4500</v>
      </c>
    </row>
    <row r="339" spans="1:2" ht="20.100000000000001" customHeight="1">
      <c r="A339" s="257" t="s">
        <v>1181</v>
      </c>
      <c r="B339" s="397">
        <f>CEILING((45*Facades!D13+4*Facades!D14+4*Facades!D15+4*Facades!D16),50)</f>
        <v>6200</v>
      </c>
    </row>
    <row r="340" spans="1:2" ht="20.100000000000001" customHeight="1" thickBot="1">
      <c r="A340" s="267"/>
      <c r="B340" s="396">
        <f>SUM(B335:B339)</f>
        <v>29050</v>
      </c>
    </row>
    <row r="341" spans="1:2" ht="20.100000000000001" customHeight="1" thickBot="1"/>
    <row r="342" spans="1:2" ht="20.100000000000001" customHeight="1">
      <c r="A342" s="767" t="s">
        <v>1186</v>
      </c>
      <c r="B342" s="768"/>
    </row>
    <row r="343" spans="1:2" ht="20.100000000000001" customHeight="1">
      <c r="A343" s="257" t="s">
        <v>1035</v>
      </c>
      <c r="B343" s="397">
        <f>+B324</f>
        <v>1450</v>
      </c>
    </row>
    <row r="344" spans="1:2" ht="20.100000000000001" customHeight="1">
      <c r="A344" s="257" t="s">
        <v>1419</v>
      </c>
      <c r="B344" s="397">
        <f>+B325</f>
        <v>5200</v>
      </c>
    </row>
    <row r="345" spans="1:2" ht="20.100000000000001" customHeight="1">
      <c r="A345" s="257" t="s">
        <v>1178</v>
      </c>
      <c r="B345" s="397">
        <f>+B326</f>
        <v>17400</v>
      </c>
    </row>
    <row r="346" spans="1:2" ht="20.100000000000001" customHeight="1">
      <c r="A346" s="257" t="s">
        <v>1169</v>
      </c>
      <c r="B346" s="397">
        <f>+B327</f>
        <v>3200</v>
      </c>
    </row>
    <row r="347" spans="1:2" ht="20.100000000000001" customHeight="1">
      <c r="A347" s="257" t="s">
        <v>1181</v>
      </c>
      <c r="B347" s="397">
        <f t="shared" ref="B347" si="0">+B328</f>
        <v>10000</v>
      </c>
    </row>
    <row r="348" spans="1:2" ht="20.100000000000001" customHeight="1" thickBot="1">
      <c r="A348" s="267"/>
      <c r="B348" s="396">
        <f>SUM(B343:B347)</f>
        <v>37250</v>
      </c>
    </row>
    <row r="349" spans="1:2" ht="20.100000000000001" customHeight="1" thickBot="1"/>
    <row r="350" spans="1:2" ht="20.100000000000001" customHeight="1">
      <c r="A350" s="767" t="s">
        <v>1392</v>
      </c>
      <c r="B350" s="768"/>
    </row>
    <row r="351" spans="1:2" ht="20.100000000000001" customHeight="1">
      <c r="A351" s="257" t="s">
        <v>76</v>
      </c>
      <c r="B351" s="382">
        <f>CEILING(((20*'House extension'!D33+4*'House extension'!D34+6*'House extension'!D45)-3.7*'House extension'!D25-3.5*'House extension'!D26-((3.5*'House extension'!D29+'House extension'!D27)/1.36*1.1)+('Windows &amp; Sliding Doors'!J14*2-'Windows &amp; Sliding Doors'!D16)),50)</f>
        <v>11300</v>
      </c>
    </row>
    <row r="352" spans="1:2" ht="20.100000000000001" customHeight="1">
      <c r="A352" s="257" t="s">
        <v>77</v>
      </c>
      <c r="B352" s="382">
        <f>CEILING((25*'House extension'!D33+2*'House extension'!D34+6*'House extension'!D37-((3*'House extension'!D25+4*'House extension'!D29+2*'House extension'!D27)/1.36*1.1)),50)</f>
        <v>10600</v>
      </c>
    </row>
    <row r="353" spans="1:2" ht="20.100000000000001" customHeight="1">
      <c r="A353" s="257" t="s">
        <v>78</v>
      </c>
      <c r="B353" s="382">
        <f>CEILING(((25.8*'House extension'!D33+2*'House extension'!D34+6*'House extension'!D37)-((3*'House extension'!D25+4*'House extension'!D26+4*'House extension'!D29+'House extension'!D27*2)/1.36*1.1)),50)</f>
        <v>10750</v>
      </c>
    </row>
    <row r="354" spans="1:2" ht="20.100000000000001" customHeight="1">
      <c r="A354" s="257" t="s">
        <v>79</v>
      </c>
      <c r="B354" s="382">
        <f>+B353</f>
        <v>10750</v>
      </c>
    </row>
    <row r="355" spans="1:2" ht="20.100000000000001" customHeight="1">
      <c r="A355" s="257" t="s">
        <v>80</v>
      </c>
      <c r="B355" s="382">
        <f>CEILING(((41*'House extension'!D33+2*'House extension'!D34+'House extension'!D35+'House extension'!D37*11)-((3*'House extension'!D25+2*'House extension'!D26+2*'House extension'!D29+'House extension'!D27+'House extension'!D27)/1.36*1.1)),50)</f>
        <v>19350</v>
      </c>
    </row>
    <row r="356" spans="1:2" ht="20.100000000000001" customHeight="1">
      <c r="A356" s="257" t="s">
        <v>1151</v>
      </c>
      <c r="B356" s="382">
        <f>+B354</f>
        <v>10750</v>
      </c>
    </row>
    <row r="357" spans="1:2" ht="20.100000000000001" customHeight="1" thickBot="1">
      <c r="A357" s="267" t="s">
        <v>81</v>
      </c>
      <c r="B357" s="385">
        <f>+B355</f>
        <v>19350</v>
      </c>
    </row>
    <row r="358" spans="1:2" ht="20.100000000000001" customHeight="1"/>
    <row r="359" spans="1:2" ht="20.100000000000001" customHeight="1">
      <c r="A359" s="18" t="s">
        <v>1393</v>
      </c>
    </row>
    <row r="360" spans="1:2" ht="20.100000000000001" customHeight="1"/>
    <row r="362" spans="1:2">
      <c r="A362" t="str">
        <f>+A331</f>
        <v>Facade pricing July 2024</v>
      </c>
    </row>
    <row r="364" spans="1:2" ht="19.5" customHeight="1" thickBot="1"/>
    <row r="365" spans="1:2" ht="20.100000000000001" customHeight="1">
      <c r="A365" s="767" t="s">
        <v>1420</v>
      </c>
      <c r="B365" s="768"/>
    </row>
    <row r="366" spans="1:2" ht="20.100000000000001" customHeight="1">
      <c r="A366" s="257" t="s">
        <v>1394</v>
      </c>
      <c r="B366" s="397" t="s">
        <v>919</v>
      </c>
    </row>
    <row r="367" spans="1:2" ht="20.100000000000001" customHeight="1">
      <c r="A367" s="257" t="s">
        <v>1421</v>
      </c>
      <c r="B367" s="397">
        <f>+B344</f>
        <v>5200</v>
      </c>
    </row>
    <row r="368" spans="1:2" ht="20.100000000000001" customHeight="1">
      <c r="A368" s="257" t="s">
        <v>1422</v>
      </c>
      <c r="B368" s="397">
        <f>+'House extension'!D27</f>
        <v>810</v>
      </c>
    </row>
    <row r="369" spans="1:2" ht="20.100000000000001" customHeight="1">
      <c r="A369" s="257" t="s">
        <v>1395</v>
      </c>
      <c r="B369" s="397">
        <f>2*'House extension'!D27</f>
        <v>1620</v>
      </c>
    </row>
    <row r="370" spans="1:2" ht="20.100000000000001" customHeight="1">
      <c r="A370" s="257" t="s">
        <v>1396</v>
      </c>
      <c r="B370" s="397">
        <f>'Windows &amp; Sliding Doors'!P17-'Windows &amp; Sliding Doors'!D17</f>
        <v>615</v>
      </c>
    </row>
    <row r="371" spans="1:2" ht="20.100000000000001" customHeight="1">
      <c r="A371" s="257" t="s">
        <v>1397</v>
      </c>
      <c r="B371" s="397">
        <v>15450</v>
      </c>
    </row>
    <row r="372" spans="1:2" ht="20.100000000000001" customHeight="1">
      <c r="A372" s="257" t="s">
        <v>1398</v>
      </c>
      <c r="B372" s="397">
        <v>5600</v>
      </c>
    </row>
    <row r="373" spans="1:2" ht="20.100000000000001" customHeight="1" thickBot="1">
      <c r="A373" s="267"/>
      <c r="B373" s="396">
        <f>SUM(B366:B372)</f>
        <v>29295</v>
      </c>
    </row>
    <row r="375" spans="1:2">
      <c r="A375" s="18" t="s">
        <v>1423</v>
      </c>
    </row>
  </sheetData>
  <mergeCells count="45">
    <mergeCell ref="A323:B323"/>
    <mergeCell ref="A334:B334"/>
    <mergeCell ref="A342:B342"/>
    <mergeCell ref="A350:B350"/>
    <mergeCell ref="A282:B282"/>
    <mergeCell ref="A289:B289"/>
    <mergeCell ref="A299:B299"/>
    <mergeCell ref="A307:B307"/>
    <mergeCell ref="A315:B315"/>
    <mergeCell ref="A177:B177"/>
    <mergeCell ref="A182:B182"/>
    <mergeCell ref="A147:B147"/>
    <mergeCell ref="A272:B272"/>
    <mergeCell ref="A203:B203"/>
    <mergeCell ref="A213:B213"/>
    <mergeCell ref="A236:B236"/>
    <mergeCell ref="A245:B245"/>
    <mergeCell ref="A220:B220"/>
    <mergeCell ref="A228:B228"/>
    <mergeCell ref="A251:B251"/>
    <mergeCell ref="A258:B258"/>
    <mergeCell ref="A265:B265"/>
    <mergeCell ref="A171:B171"/>
    <mergeCell ref="A45:B45"/>
    <mergeCell ref="A12:B12"/>
    <mergeCell ref="A16:B16"/>
    <mergeCell ref="A21:B21"/>
    <mergeCell ref="A28:B28"/>
    <mergeCell ref="A40:B40"/>
    <mergeCell ref="A5:B8"/>
    <mergeCell ref="A365:B365"/>
    <mergeCell ref="A97:B97"/>
    <mergeCell ref="A102:B102"/>
    <mergeCell ref="A111:B111"/>
    <mergeCell ref="A51:B51"/>
    <mergeCell ref="A63:B63"/>
    <mergeCell ref="A69:B69"/>
    <mergeCell ref="A78:B78"/>
    <mergeCell ref="A92:B92"/>
    <mergeCell ref="A121:B121"/>
    <mergeCell ref="A125:B125"/>
    <mergeCell ref="A132:B132"/>
    <mergeCell ref="A191:B191"/>
    <mergeCell ref="A152:B152"/>
    <mergeCell ref="A157:B157"/>
  </mergeCells>
  <phoneticPr fontId="57" type="noConversion"/>
  <pageMargins left="0.7" right="0.7" top="0.75" bottom="0.75" header="0.3" footer="0.3"/>
  <pageSetup paperSize="9" orientation="portrait" horizontalDpi="1200" r:id="rId1"/>
  <rowBreaks count="13" manualBreakCount="13">
    <brk id="34" max="16383" man="1"/>
    <brk id="58" max="16383" man="1"/>
    <brk id="87" max="16383" man="1"/>
    <brk id="116" max="16383" man="1"/>
    <brk id="142" max="16383" man="1"/>
    <brk id="166" max="16383" man="1"/>
    <brk id="198" max="1" man="1"/>
    <brk id="208" max="1" man="1"/>
    <brk id="246" max="1" man="1"/>
    <brk id="277" max="1" man="1"/>
    <brk id="294" max="1" man="1"/>
    <brk id="329" max="1" man="1"/>
    <brk id="360" max="1" man="1"/>
  </rowBreaks>
  <colBreaks count="1" manualBreakCount="1">
    <brk id="2" max="1048575" man="1"/>
  </col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C0849-6861-468B-ADC7-B0FD823C592E}">
  <dimension ref="A2:O50"/>
  <sheetViews>
    <sheetView workbookViewId="0">
      <selection activeCell="C55" sqref="C55"/>
    </sheetView>
  </sheetViews>
  <sheetFormatPr defaultRowHeight="15"/>
  <cols>
    <col min="1" max="1" width="65.42578125" style="13" bestFit="1" customWidth="1"/>
    <col min="4" max="4" width="11" style="597" customWidth="1"/>
    <col min="8" max="8" width="14.42578125" customWidth="1"/>
  </cols>
  <sheetData>
    <row r="2" spans="1:15" ht="21">
      <c r="A2" s="596" t="s">
        <v>1719</v>
      </c>
    </row>
    <row r="3" spans="1:15" ht="15" customHeight="1">
      <c r="A3" s="596"/>
    </row>
    <row r="4" spans="1:15" ht="15" customHeight="1" thickBot="1">
      <c r="A4" t="s">
        <v>1720</v>
      </c>
      <c r="B4" s="304">
        <v>255</v>
      </c>
      <c r="C4" t="s">
        <v>138</v>
      </c>
      <c r="F4" s="598"/>
      <c r="G4" s="598"/>
      <c r="H4" s="598"/>
      <c r="I4" s="598"/>
      <c r="J4" s="598"/>
      <c r="K4" s="598"/>
      <c r="L4" s="598"/>
      <c r="M4" s="598"/>
      <c r="N4" s="598"/>
      <c r="O4" s="598"/>
    </row>
    <row r="5" spans="1:15" ht="21">
      <c r="A5" t="s">
        <v>139</v>
      </c>
      <c r="B5" s="304">
        <v>50</v>
      </c>
      <c r="C5" t="s">
        <v>138</v>
      </c>
      <c r="E5" s="599"/>
      <c r="F5" s="600" t="s">
        <v>1721</v>
      </c>
      <c r="G5" s="601"/>
      <c r="O5" s="602"/>
    </row>
    <row r="6" spans="1:15" ht="21">
      <c r="A6" t="s">
        <v>1722</v>
      </c>
      <c r="B6" s="304">
        <f>35+35+16+16</f>
        <v>102</v>
      </c>
      <c r="C6" t="s">
        <v>143</v>
      </c>
      <c r="E6" s="599"/>
      <c r="F6" s="600" t="s">
        <v>1723</v>
      </c>
      <c r="G6" s="601"/>
      <c r="O6" s="599"/>
    </row>
    <row r="7" spans="1:15" ht="21.75" thickBot="1">
      <c r="A7" s="596"/>
      <c r="E7" s="599"/>
      <c r="F7" s="603" t="s">
        <v>1724</v>
      </c>
      <c r="G7" s="604"/>
      <c r="H7" s="598"/>
      <c r="I7" s="598"/>
      <c r="J7" s="598"/>
      <c r="K7" s="598"/>
      <c r="L7" s="598"/>
      <c r="M7" s="598"/>
      <c r="N7" s="598"/>
      <c r="O7" s="605"/>
    </row>
    <row r="8" spans="1:15" ht="18.75">
      <c r="A8" s="606" t="s">
        <v>1725</v>
      </c>
      <c r="H8" s="18"/>
    </row>
    <row r="9" spans="1:15" ht="21">
      <c r="A9" s="13" t="s">
        <v>1726</v>
      </c>
      <c r="B9" s="304"/>
      <c r="C9" t="s">
        <v>1727</v>
      </c>
      <c r="D9" s="597">
        <f>+B9*200</f>
        <v>0</v>
      </c>
      <c r="F9" s="607"/>
      <c r="G9" s="608"/>
      <c r="H9" s="608"/>
      <c r="I9" s="608"/>
      <c r="J9" s="608"/>
      <c r="K9" s="608"/>
      <c r="L9" s="608"/>
      <c r="M9" s="608"/>
      <c r="N9" s="608"/>
      <c r="O9" s="608"/>
    </row>
    <row r="10" spans="1:15" ht="21">
      <c r="A10" s="13" t="s">
        <v>1728</v>
      </c>
      <c r="B10" s="304"/>
      <c r="C10" t="s">
        <v>1727</v>
      </c>
      <c r="D10" s="597">
        <f>+B10*250</f>
        <v>0</v>
      </c>
      <c r="F10" s="607"/>
      <c r="G10" s="608"/>
      <c r="H10" s="608"/>
      <c r="I10" s="608"/>
      <c r="J10" s="608"/>
      <c r="K10" s="608"/>
      <c r="L10" s="608"/>
      <c r="M10" s="608"/>
      <c r="N10" s="608"/>
      <c r="O10" s="608"/>
    </row>
    <row r="11" spans="1:15" ht="21">
      <c r="A11" s="13" t="s">
        <v>1729</v>
      </c>
      <c r="B11" s="304"/>
      <c r="C11" t="s">
        <v>1727</v>
      </c>
      <c r="D11" s="597">
        <f>+B11*340</f>
        <v>0</v>
      </c>
      <c r="F11" s="607"/>
      <c r="G11" s="608"/>
      <c r="H11" s="608"/>
      <c r="I11" s="608"/>
      <c r="J11" s="608"/>
      <c r="K11" s="608"/>
      <c r="L11" s="608"/>
      <c r="M11" s="608"/>
      <c r="N11" s="608"/>
      <c r="O11" s="608"/>
    </row>
    <row r="12" spans="1:15" ht="21">
      <c r="A12" s="13" t="s">
        <v>1730</v>
      </c>
      <c r="B12" s="304"/>
      <c r="C12" t="s">
        <v>1727</v>
      </c>
      <c r="D12" s="597">
        <f>+B12*440</f>
        <v>0</v>
      </c>
      <c r="F12" s="607"/>
      <c r="G12" s="608"/>
      <c r="H12" s="608"/>
      <c r="I12" s="608"/>
      <c r="J12" s="608"/>
      <c r="K12" s="608"/>
      <c r="L12" s="608"/>
      <c r="M12" s="608"/>
      <c r="N12" s="608"/>
      <c r="O12" s="608"/>
    </row>
    <row r="13" spans="1:15">
      <c r="A13" s="13" t="s">
        <v>1731</v>
      </c>
      <c r="B13" t="s">
        <v>236</v>
      </c>
      <c r="C13" t="s">
        <v>1727</v>
      </c>
    </row>
    <row r="14" spans="1:15" ht="30">
      <c r="A14" s="13" t="s">
        <v>1732</v>
      </c>
      <c r="B14" s="304"/>
      <c r="C14" t="s">
        <v>143</v>
      </c>
      <c r="D14" s="597">
        <f>+((B4+B5)*6*B14)+(11*B6*B14)</f>
        <v>0</v>
      </c>
    </row>
    <row r="15" spans="1:15" ht="31.5">
      <c r="A15" s="13" t="s">
        <v>1733</v>
      </c>
      <c r="B15" s="304"/>
      <c r="C15" t="s">
        <v>143</v>
      </c>
      <c r="D15" s="597">
        <f>+((B4+B5)*12*B15)+(B6*B15*12)</f>
        <v>0</v>
      </c>
      <c r="F15" s="600" t="s">
        <v>1721</v>
      </c>
    </row>
    <row r="16" spans="1:15" ht="30">
      <c r="A16" s="13" t="s">
        <v>1734</v>
      </c>
      <c r="B16" s="304">
        <v>1</v>
      </c>
      <c r="C16" t="s">
        <v>143</v>
      </c>
      <c r="D16" s="597">
        <f>+((B5+B4)*43*B16)+(B6*B16*12)</f>
        <v>14339</v>
      </c>
    </row>
    <row r="17" spans="1:8" ht="18.75">
      <c r="A17" s="606" t="s">
        <v>1735</v>
      </c>
    </row>
    <row r="18" spans="1:8">
      <c r="A18" s="13" t="s">
        <v>1736</v>
      </c>
      <c r="B18" s="304"/>
      <c r="C18" t="s">
        <v>1737</v>
      </c>
      <c r="D18" s="597">
        <f>+IF(B18&gt;60,((B18-60)*4),0)</f>
        <v>0</v>
      </c>
      <c r="H18" s="609"/>
    </row>
    <row r="19" spans="1:8" ht="18.75">
      <c r="A19" s="606" t="s">
        <v>1738</v>
      </c>
    </row>
    <row r="20" spans="1:8">
      <c r="A20" s="13" t="s">
        <v>1739</v>
      </c>
      <c r="B20" s="610">
        <v>2</v>
      </c>
      <c r="C20" s="610" t="s">
        <v>1740</v>
      </c>
      <c r="D20" s="597">
        <f>+B6*13.5*B20</f>
        <v>2754</v>
      </c>
    </row>
    <row r="21" spans="1:8" ht="18.75">
      <c r="A21" s="606" t="s">
        <v>1741</v>
      </c>
      <c r="D21" s="611">
        <f>SUM(D9:D20)</f>
        <v>17093</v>
      </c>
    </row>
    <row r="23" spans="1:8" ht="18.75" hidden="1">
      <c r="A23" s="606" t="s">
        <v>1742</v>
      </c>
    </row>
    <row r="24" spans="1:8" ht="18" hidden="1" customHeight="1">
      <c r="A24" s="13" t="s">
        <v>1743</v>
      </c>
      <c r="B24">
        <v>0</v>
      </c>
      <c r="C24" t="s">
        <v>1744</v>
      </c>
      <c r="D24" s="597">
        <f>+B24*35</f>
        <v>0</v>
      </c>
    </row>
    <row r="25" spans="1:8" ht="18.75" hidden="1">
      <c r="A25" s="606" t="s">
        <v>1741</v>
      </c>
      <c r="D25" s="611">
        <f>SUM(D24:D24)</f>
        <v>0</v>
      </c>
    </row>
    <row r="26" spans="1:8" ht="18.75" hidden="1">
      <c r="A26" s="606"/>
    </row>
    <row r="27" spans="1:8" ht="18.75" hidden="1">
      <c r="A27" s="606" t="s">
        <v>1745</v>
      </c>
    </row>
    <row r="28" spans="1:8" ht="18" hidden="1" customHeight="1">
      <c r="A28" s="13" t="s">
        <v>1746</v>
      </c>
      <c r="C28" t="s">
        <v>1744</v>
      </c>
      <c r="D28" s="597">
        <f>+B28*27</f>
        <v>0</v>
      </c>
    </row>
    <row r="29" spans="1:8" ht="18" hidden="1" customHeight="1">
      <c r="A29" s="13" t="s">
        <v>1747</v>
      </c>
      <c r="C29" t="s">
        <v>1744</v>
      </c>
      <c r="D29" s="597">
        <f>+B29*535</f>
        <v>0</v>
      </c>
    </row>
    <row r="30" spans="1:8" ht="18.75" hidden="1">
      <c r="A30" s="606" t="s">
        <v>1741</v>
      </c>
      <c r="D30" s="611">
        <f>SUM(D28:D29)</f>
        <v>0</v>
      </c>
    </row>
    <row r="31" spans="1:8" ht="18.75" hidden="1">
      <c r="A31" s="606"/>
    </row>
    <row r="32" spans="1:8" ht="18.75" hidden="1">
      <c r="A32" s="606" t="s">
        <v>1748</v>
      </c>
    </row>
    <row r="33" spans="1:4" hidden="1">
      <c r="A33" s="13" t="s">
        <v>1749</v>
      </c>
      <c r="B33">
        <v>0</v>
      </c>
      <c r="C33" t="s">
        <v>1744</v>
      </c>
      <c r="D33" s="597">
        <f>+IF(B33=1,930,0)</f>
        <v>0</v>
      </c>
    </row>
    <row r="34" spans="1:4" ht="18.75" hidden="1">
      <c r="A34" s="606" t="s">
        <v>1741</v>
      </c>
      <c r="D34" s="611">
        <f>SUM(D33:D33)</f>
        <v>0</v>
      </c>
    </row>
    <row r="35" spans="1:4" ht="18.75" hidden="1">
      <c r="A35" s="606"/>
    </row>
    <row r="36" spans="1:4" ht="18.75" hidden="1">
      <c r="A36" s="606" t="s">
        <v>1750</v>
      </c>
    </row>
    <row r="37" spans="1:4" hidden="1">
      <c r="A37" s="13" t="s">
        <v>1751</v>
      </c>
      <c r="B37">
        <v>0</v>
      </c>
      <c r="C37" t="s">
        <v>1744</v>
      </c>
      <c r="D37" s="597">
        <f>+B37*64</f>
        <v>0</v>
      </c>
    </row>
    <row r="38" spans="1:4" hidden="1">
      <c r="A38" s="13" t="s">
        <v>1752</v>
      </c>
      <c r="B38">
        <v>0</v>
      </c>
      <c r="C38" t="s">
        <v>1727</v>
      </c>
      <c r="D38" s="597">
        <f>+B38*335</f>
        <v>0</v>
      </c>
    </row>
    <row r="39" spans="1:4" hidden="1">
      <c r="A39" s="13" t="s">
        <v>1753</v>
      </c>
      <c r="C39" t="s">
        <v>1727</v>
      </c>
      <c r="D39" s="597">
        <f>+B39*400</f>
        <v>0</v>
      </c>
    </row>
    <row r="40" spans="1:4" ht="18.75" hidden="1">
      <c r="A40" s="606" t="s">
        <v>1741</v>
      </c>
      <c r="D40" s="611">
        <f>SUM(D37:D39)</f>
        <v>0</v>
      </c>
    </row>
    <row r="41" spans="1:4" ht="18.75" hidden="1">
      <c r="A41" s="606"/>
    </row>
    <row r="42" spans="1:4" ht="18.75" hidden="1">
      <c r="A42" s="606" t="s">
        <v>1754</v>
      </c>
    </row>
    <row r="43" spans="1:4" hidden="1">
      <c r="A43" s="13" t="s">
        <v>1755</v>
      </c>
      <c r="C43" t="s">
        <v>1744</v>
      </c>
      <c r="D43" s="597">
        <f>31*2*B43</f>
        <v>0</v>
      </c>
    </row>
    <row r="44" spans="1:4" ht="18.75" hidden="1">
      <c r="A44" s="606" t="s">
        <v>1741</v>
      </c>
      <c r="D44" s="611">
        <f>SUM(D43)</f>
        <v>0</v>
      </c>
    </row>
    <row r="45" spans="1:4" hidden="1"/>
    <row r="46" spans="1:4" ht="18.75" hidden="1">
      <c r="A46" s="606" t="s">
        <v>1756</v>
      </c>
    </row>
    <row r="47" spans="1:4" hidden="1">
      <c r="A47" s="13" t="s">
        <v>1757</v>
      </c>
      <c r="C47" t="s">
        <v>1727</v>
      </c>
      <c r="D47" s="597">
        <f>+B47*0</f>
        <v>0</v>
      </c>
    </row>
    <row r="48" spans="1:4" hidden="1">
      <c r="A48" s="13" t="s">
        <v>1758</v>
      </c>
      <c r="B48">
        <v>0</v>
      </c>
      <c r="C48" t="s">
        <v>1727</v>
      </c>
      <c r="D48" s="597">
        <f>+B48*1500</f>
        <v>0</v>
      </c>
    </row>
    <row r="49" spans="1:4" hidden="1">
      <c r="A49" s="13" t="s">
        <v>1759</v>
      </c>
      <c r="B49">
        <v>0</v>
      </c>
      <c r="C49" t="s">
        <v>1727</v>
      </c>
      <c r="D49" s="612" t="s">
        <v>236</v>
      </c>
    </row>
    <row r="50" spans="1:4" ht="18.75" hidden="1">
      <c r="A50" s="606" t="s">
        <v>1741</v>
      </c>
      <c r="D50" s="611">
        <f>SUM(D47:D49)</f>
        <v>0</v>
      </c>
    </row>
  </sheetData>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0E271-F7EB-47BA-8599-0AD71CA634EA}">
  <sheetPr codeName="Sheet29"/>
  <dimension ref="A1:AJ123"/>
  <sheetViews>
    <sheetView workbookViewId="0">
      <selection activeCell="B73" sqref="B73"/>
    </sheetView>
  </sheetViews>
  <sheetFormatPr defaultColWidth="9.140625" defaultRowHeight="15"/>
  <cols>
    <col min="1" max="1" width="30.28515625" style="110" bestFit="1" customWidth="1"/>
    <col min="2" max="3" width="9.140625" style="110"/>
    <col min="4" max="5" width="11.28515625" style="111" bestFit="1" customWidth="1"/>
    <col min="6" max="7" width="9.140625" style="110"/>
    <col min="8" max="8" width="10.28515625" style="111" bestFit="1" customWidth="1"/>
    <col min="9" max="9" width="13.140625" style="111" customWidth="1"/>
    <col min="10" max="25" width="9.140625" style="110"/>
    <col min="26" max="26" width="10.140625" style="110" bestFit="1" customWidth="1"/>
    <col min="27" max="16384" width="9.140625" style="110"/>
  </cols>
  <sheetData>
    <row r="1" spans="1:22">
      <c r="A1" s="109" t="s">
        <v>256</v>
      </c>
    </row>
    <row r="2" spans="1:22" ht="12.75">
      <c r="A2" s="112"/>
      <c r="B2" s="109" t="s">
        <v>257</v>
      </c>
      <c r="C2" s="112"/>
      <c r="D2" s="113"/>
      <c r="E2" s="113"/>
      <c r="F2" s="109" t="s">
        <v>258</v>
      </c>
      <c r="G2" s="112"/>
      <c r="H2" s="113"/>
      <c r="I2" s="113"/>
    </row>
    <row r="3" spans="1:22" ht="12.75">
      <c r="A3" s="109" t="s">
        <v>259</v>
      </c>
      <c r="B3" s="114" t="s">
        <v>260</v>
      </c>
      <c r="C3" s="114"/>
      <c r="D3" s="115" t="s">
        <v>261</v>
      </c>
      <c r="E3" s="115" t="s">
        <v>173</v>
      </c>
      <c r="F3" s="114" t="s">
        <v>260</v>
      </c>
      <c r="G3" s="114"/>
      <c r="H3" s="115" t="s">
        <v>261</v>
      </c>
      <c r="I3" s="115" t="s">
        <v>173</v>
      </c>
    </row>
    <row r="4" spans="1:22" ht="13.5" thickBot="1">
      <c r="A4" s="116"/>
      <c r="D4" s="117"/>
      <c r="E4" s="117"/>
      <c r="H4" s="117"/>
      <c r="I4" s="117"/>
    </row>
    <row r="5" spans="1:22" ht="13.5">
      <c r="A5" s="565" t="s">
        <v>1794</v>
      </c>
      <c r="B5" s="566"/>
      <c r="C5" s="566"/>
      <c r="D5" s="579"/>
      <c r="E5" s="579"/>
      <c r="F5" s="566"/>
      <c r="G5" s="566"/>
      <c r="H5" s="579"/>
      <c r="I5" s="580"/>
    </row>
    <row r="6" spans="1:22" ht="13.5">
      <c r="A6" s="567" t="s">
        <v>1693</v>
      </c>
      <c r="B6" s="568" t="s">
        <v>1695</v>
      </c>
      <c r="C6" s="568"/>
      <c r="D6" s="581"/>
      <c r="E6" s="581">
        <v>405</v>
      </c>
      <c r="F6" s="568"/>
      <c r="G6" s="568"/>
      <c r="H6" s="581"/>
      <c r="I6" s="582"/>
      <c r="K6" s="110" t="s">
        <v>1694</v>
      </c>
      <c r="S6" s="110" t="s">
        <v>1853</v>
      </c>
    </row>
    <row r="7" spans="1:22" ht="13.5">
      <c r="A7" s="567" t="s">
        <v>1421</v>
      </c>
      <c r="B7" s="568"/>
      <c r="C7" s="568"/>
      <c r="D7" s="581"/>
      <c r="E7" s="581">
        <v>5200</v>
      </c>
      <c r="F7" s="568"/>
      <c r="G7" s="568"/>
      <c r="H7" s="581"/>
      <c r="I7" s="582"/>
      <c r="K7" s="110" t="s">
        <v>1696</v>
      </c>
      <c r="S7" s="110" t="s">
        <v>1854</v>
      </c>
      <c r="T7" s="110">
        <v>4.2</v>
      </c>
      <c r="U7" s="110">
        <v>4.2</v>
      </c>
      <c r="V7" s="110">
        <f>T7*U7</f>
        <v>17.64</v>
      </c>
    </row>
    <row r="8" spans="1:22" ht="13.5">
      <c r="A8" s="567" t="s">
        <v>1691</v>
      </c>
      <c r="B8" s="568"/>
      <c r="C8" s="568"/>
      <c r="D8" s="581"/>
      <c r="E8" s="581">
        <v>1045</v>
      </c>
      <c r="F8" s="568"/>
      <c r="G8" s="568"/>
      <c r="H8" s="581"/>
      <c r="I8" s="582"/>
      <c r="K8" s="110" t="s">
        <v>1697</v>
      </c>
      <c r="N8" s="110" t="s">
        <v>1695</v>
      </c>
      <c r="O8" s="590">
        <v>220</v>
      </c>
      <c r="S8" s="110" t="s">
        <v>1855</v>
      </c>
      <c r="T8" s="110">
        <v>1.79</v>
      </c>
      <c r="U8" s="110">
        <v>2.4700000000000002</v>
      </c>
      <c r="V8" s="110">
        <f t="shared" ref="V8:V15" si="0">T8*U8</f>
        <v>4.4213000000000005</v>
      </c>
    </row>
    <row r="9" spans="1:22" ht="13.5">
      <c r="A9" s="567" t="s">
        <v>1692</v>
      </c>
      <c r="B9" s="568"/>
      <c r="C9" s="568"/>
      <c r="D9" s="581"/>
      <c r="E9" s="581">
        <v>2090</v>
      </c>
      <c r="F9" s="568"/>
      <c r="G9" s="568"/>
      <c r="H9" s="581"/>
      <c r="I9" s="582"/>
      <c r="K9" s="110" t="s">
        <v>1698</v>
      </c>
      <c r="N9" s="110" t="s">
        <v>1699</v>
      </c>
      <c r="O9" s="590">
        <v>55</v>
      </c>
      <c r="S9" s="110" t="s">
        <v>1855</v>
      </c>
      <c r="T9" s="110">
        <v>1.79</v>
      </c>
      <c r="U9" s="110">
        <v>1.98</v>
      </c>
      <c r="V9" s="110">
        <f t="shared" si="0"/>
        <v>3.5442</v>
      </c>
    </row>
    <row r="10" spans="1:22" ht="13.5">
      <c r="A10" s="567" t="s">
        <v>1397</v>
      </c>
      <c r="B10" s="568"/>
      <c r="C10" s="568"/>
      <c r="D10" s="581"/>
      <c r="E10" s="581">
        <v>15450</v>
      </c>
      <c r="F10" s="568"/>
      <c r="G10" s="568"/>
      <c r="H10" s="581"/>
      <c r="I10" s="582"/>
      <c r="K10" s="110" t="s">
        <v>1673</v>
      </c>
      <c r="N10" s="110" t="s">
        <v>1699</v>
      </c>
      <c r="O10" s="590">
        <v>130</v>
      </c>
      <c r="S10" s="110" t="s">
        <v>1856</v>
      </c>
      <c r="T10" s="110">
        <v>1.79</v>
      </c>
      <c r="U10" s="110">
        <v>2.2999999999999998</v>
      </c>
      <c r="V10" s="110">
        <f t="shared" si="0"/>
        <v>4.117</v>
      </c>
    </row>
    <row r="11" spans="1:22" ht="13.5">
      <c r="A11" s="567"/>
      <c r="B11" s="568"/>
      <c r="C11" s="568"/>
      <c r="D11" s="581"/>
      <c r="E11" s="581"/>
      <c r="F11" s="568"/>
      <c r="G11" s="568"/>
      <c r="H11" s="581"/>
      <c r="I11" s="582"/>
      <c r="O11" s="590">
        <f>SUM(O8:O10)</f>
        <v>405</v>
      </c>
      <c r="S11" s="110" t="s">
        <v>1857</v>
      </c>
      <c r="T11" s="110">
        <v>3.3</v>
      </c>
      <c r="U11" s="110">
        <v>3.3</v>
      </c>
      <c r="V11" s="110">
        <f t="shared" si="0"/>
        <v>10.889999999999999</v>
      </c>
    </row>
    <row r="12" spans="1:22" ht="13.5">
      <c r="A12" s="567"/>
      <c r="B12" s="568"/>
      <c r="C12" s="568"/>
      <c r="D12" s="581"/>
      <c r="E12" s="581"/>
      <c r="F12" s="568"/>
      <c r="G12" s="568"/>
      <c r="H12" s="581"/>
      <c r="I12" s="582"/>
      <c r="S12" s="110" t="s">
        <v>1858</v>
      </c>
      <c r="T12" s="110">
        <v>3.4</v>
      </c>
      <c r="U12" s="110">
        <v>3.9</v>
      </c>
      <c r="V12" s="110">
        <f t="shared" si="0"/>
        <v>13.26</v>
      </c>
    </row>
    <row r="13" spans="1:22" ht="13.5">
      <c r="A13" s="567"/>
      <c r="B13" s="568"/>
      <c r="C13" s="568"/>
      <c r="D13" s="572" t="s">
        <v>257</v>
      </c>
      <c r="E13" s="589">
        <f>SUM(E6:E12)</f>
        <v>24190</v>
      </c>
      <c r="F13" s="573"/>
      <c r="G13" s="573"/>
      <c r="H13" s="572" t="s">
        <v>258</v>
      </c>
      <c r="I13" s="574">
        <f>SUM(I6:I12)</f>
        <v>0</v>
      </c>
      <c r="S13" s="110" t="s">
        <v>1859</v>
      </c>
      <c r="T13" s="110">
        <v>3.5</v>
      </c>
      <c r="U13" s="110">
        <v>3.9</v>
      </c>
      <c r="V13" s="110">
        <f t="shared" si="0"/>
        <v>13.65</v>
      </c>
    </row>
    <row r="14" spans="1:22" ht="14.25" thickBot="1">
      <c r="A14" s="575"/>
      <c r="B14" s="576"/>
      <c r="C14" s="576"/>
      <c r="D14" s="583"/>
      <c r="E14" s="583"/>
      <c r="F14" s="576"/>
      <c r="G14" s="576"/>
      <c r="H14" s="577" t="s">
        <v>263</v>
      </c>
      <c r="I14" s="578">
        <f>I13-E13</f>
        <v>-24190</v>
      </c>
      <c r="S14" s="110" t="s">
        <v>1860</v>
      </c>
      <c r="T14" s="110">
        <v>3.5</v>
      </c>
      <c r="U14" s="110">
        <v>3.9</v>
      </c>
      <c r="V14" s="110">
        <f t="shared" si="0"/>
        <v>13.65</v>
      </c>
    </row>
    <row r="15" spans="1:22" ht="15.75" thickBot="1">
      <c r="S15" s="110" t="s">
        <v>1861</v>
      </c>
      <c r="T15" s="110">
        <v>5</v>
      </c>
      <c r="U15" s="110">
        <v>4</v>
      </c>
      <c r="V15" s="110">
        <f t="shared" si="0"/>
        <v>20</v>
      </c>
    </row>
    <row r="16" spans="1:22" ht="13.5">
      <c r="A16" s="565" t="s">
        <v>1659</v>
      </c>
      <c r="B16" s="566"/>
      <c r="C16" s="566"/>
      <c r="D16" s="579"/>
      <c r="E16" s="579"/>
      <c r="F16" s="566"/>
      <c r="G16" s="566"/>
      <c r="H16" s="579"/>
      <c r="I16" s="580"/>
      <c r="V16" s="110">
        <f>SUM(V7:V15)</f>
        <v>101.17250000000001</v>
      </c>
    </row>
    <row r="17" spans="1:36" ht="13.5">
      <c r="A17" s="567" t="s">
        <v>1661</v>
      </c>
      <c r="B17" s="568">
        <f>0.6*9.8</f>
        <v>5.88</v>
      </c>
      <c r="C17" s="568"/>
      <c r="D17" s="569">
        <v>555</v>
      </c>
      <c r="E17" s="581">
        <f t="shared" ref="E17:E22" si="1">SUM(D17*B17)</f>
        <v>3263.4</v>
      </c>
      <c r="F17" s="568"/>
      <c r="G17" s="568"/>
      <c r="H17" s="581"/>
      <c r="I17" s="582"/>
      <c r="K17" s="110" t="s">
        <v>1662</v>
      </c>
    </row>
    <row r="18" spans="1:36" ht="13.5">
      <c r="A18" s="567" t="s">
        <v>1663</v>
      </c>
      <c r="B18" s="568">
        <v>1.2</v>
      </c>
      <c r="C18" s="568"/>
      <c r="D18" s="581">
        <v>660</v>
      </c>
      <c r="E18" s="581">
        <f t="shared" si="1"/>
        <v>792</v>
      </c>
      <c r="F18" s="568"/>
      <c r="G18" s="568"/>
      <c r="H18" s="581"/>
      <c r="I18" s="582"/>
      <c r="S18" s="110" t="s">
        <v>1864</v>
      </c>
      <c r="Z18" s="110" t="s">
        <v>1866</v>
      </c>
    </row>
    <row r="19" spans="1:36" ht="13.5">
      <c r="A19" s="567" t="s">
        <v>1664</v>
      </c>
      <c r="B19" s="568">
        <v>4.74</v>
      </c>
      <c r="C19" s="568"/>
      <c r="D19" s="581">
        <v>60</v>
      </c>
      <c r="E19" s="569">
        <f t="shared" si="1"/>
        <v>284.40000000000003</v>
      </c>
      <c r="F19" s="570"/>
      <c r="G19" s="568"/>
      <c r="H19" s="581"/>
      <c r="I19" s="582"/>
      <c r="K19" s="110" t="s">
        <v>1665</v>
      </c>
      <c r="S19" s="110" t="s">
        <v>1865</v>
      </c>
    </row>
    <row r="20" spans="1:36" ht="13.5">
      <c r="A20" s="567" t="s">
        <v>1689</v>
      </c>
      <c r="B20" s="568">
        <v>0.66</v>
      </c>
      <c r="C20" s="568"/>
      <c r="D20" s="581">
        <v>139</v>
      </c>
      <c r="E20" s="569">
        <f t="shared" si="1"/>
        <v>91.740000000000009</v>
      </c>
      <c r="F20" s="570"/>
      <c r="G20" s="568"/>
      <c r="H20" s="581"/>
      <c r="I20" s="582"/>
      <c r="T20" s="110">
        <v>3</v>
      </c>
      <c r="U20" s="110">
        <v>1.2</v>
      </c>
      <c r="V20" s="110">
        <f t="shared" ref="V20:V21" si="2">T20*U20</f>
        <v>3.5999999999999996</v>
      </c>
      <c r="X20" s="621">
        <v>755</v>
      </c>
      <c r="Y20" s="622">
        <f>X20*V22</f>
        <v>4536.0399999999991</v>
      </c>
      <c r="Z20" s="622">
        <v>11156.2</v>
      </c>
      <c r="AB20" s="622">
        <f>Z20-Y23</f>
        <v>3572.1200000000017</v>
      </c>
      <c r="AE20" s="110">
        <v>3</v>
      </c>
      <c r="AF20" s="110">
        <v>1.2</v>
      </c>
      <c r="AG20" s="110">
        <f>AF20*AE20</f>
        <v>3.5999999999999996</v>
      </c>
    </row>
    <row r="21" spans="1:36" ht="13.5">
      <c r="A21" s="567" t="s">
        <v>4</v>
      </c>
      <c r="B21" s="568">
        <v>1.2</v>
      </c>
      <c r="C21" s="568"/>
      <c r="D21" s="581">
        <v>85</v>
      </c>
      <c r="E21" s="569">
        <f t="shared" si="1"/>
        <v>102</v>
      </c>
      <c r="F21" s="570"/>
      <c r="G21" s="568"/>
      <c r="H21" s="581"/>
      <c r="I21" s="582"/>
      <c r="T21" s="110">
        <v>3.44</v>
      </c>
      <c r="U21" s="110">
        <v>0.7</v>
      </c>
      <c r="V21" s="110">
        <f t="shared" si="2"/>
        <v>2.4079999999999999</v>
      </c>
      <c r="X21" s="621">
        <v>755</v>
      </c>
      <c r="Y21" s="622">
        <f>V21*X21</f>
        <v>1818.04</v>
      </c>
      <c r="AB21" s="622">
        <f>AB20*1.36</f>
        <v>4858.0832000000028</v>
      </c>
      <c r="AE21" s="110">
        <v>3.44</v>
      </c>
      <c r="AF21" s="110">
        <v>0.7</v>
      </c>
      <c r="AG21" s="110">
        <f>AF21*AE21</f>
        <v>2.4079999999999999</v>
      </c>
    </row>
    <row r="22" spans="1:36" ht="13.5">
      <c r="A22" s="567" t="s">
        <v>1666</v>
      </c>
      <c r="B22" s="568">
        <v>5.88</v>
      </c>
      <c r="C22" s="568"/>
      <c r="D22" s="581">
        <v>19</v>
      </c>
      <c r="E22" s="569">
        <f t="shared" si="1"/>
        <v>111.72</v>
      </c>
      <c r="F22" s="570"/>
      <c r="G22" s="568"/>
      <c r="H22" s="581"/>
      <c r="I22" s="582"/>
      <c r="V22" s="110">
        <f>SUM(V20:V21)</f>
        <v>6.0079999999999991</v>
      </c>
      <c r="X22" s="110" t="s">
        <v>1867</v>
      </c>
      <c r="Y22" s="621">
        <v>1230</v>
      </c>
      <c r="AG22" s="110">
        <f>SUM(AG20:AG21)</f>
        <v>6.0079999999999991</v>
      </c>
      <c r="AH22" s="110" t="s">
        <v>1901</v>
      </c>
      <c r="AI22" s="621">
        <v>755</v>
      </c>
    </row>
    <row r="23" spans="1:36" ht="13.5">
      <c r="A23" s="567"/>
      <c r="B23" s="568"/>
      <c r="C23" s="568"/>
      <c r="D23" s="581"/>
      <c r="E23" s="581"/>
      <c r="F23" s="568"/>
      <c r="G23" s="568"/>
      <c r="H23" s="581"/>
      <c r="I23" s="582"/>
      <c r="Y23" s="622">
        <f>SUM(Y20:Y22)</f>
        <v>7584.079999999999</v>
      </c>
      <c r="AF23" s="110" t="s">
        <v>1902</v>
      </c>
      <c r="AG23" s="110">
        <v>2</v>
      </c>
      <c r="AH23" s="110" t="s">
        <v>1901</v>
      </c>
      <c r="AI23" s="110">
        <v>611.54999999999995</v>
      </c>
    </row>
    <row r="24" spans="1:36" ht="13.5">
      <c r="A24" s="567"/>
      <c r="B24" s="568"/>
      <c r="C24" s="568"/>
      <c r="D24" s="581"/>
      <c r="E24" s="581"/>
      <c r="F24" s="568"/>
      <c r="G24" s="568"/>
      <c r="H24" s="581"/>
      <c r="I24" s="582"/>
      <c r="AI24" s="621">
        <f>SUM(AI22:AI23)</f>
        <v>1366.55</v>
      </c>
    </row>
    <row r="25" spans="1:36" ht="13.5">
      <c r="A25" s="567"/>
      <c r="B25" s="568"/>
      <c r="C25" s="568"/>
      <c r="D25" s="581"/>
      <c r="E25" s="581"/>
      <c r="F25" s="568"/>
      <c r="G25" s="568"/>
      <c r="H25" s="569"/>
      <c r="I25" s="582"/>
      <c r="K25" s="110" t="s">
        <v>1838</v>
      </c>
      <c r="S25" s="110" t="s">
        <v>1868</v>
      </c>
      <c r="X25" s="621">
        <v>635</v>
      </c>
      <c r="Y25" s="622">
        <f>V28*X25</f>
        <v>1386.8400000000001</v>
      </c>
      <c r="Z25" s="621">
        <v>4590</v>
      </c>
      <c r="AA25" s="621">
        <f>Z25-Y25</f>
        <v>3203.16</v>
      </c>
      <c r="AB25" s="622">
        <f>AA25*1.36</f>
        <v>4356.2975999999999</v>
      </c>
    </row>
    <row r="26" spans="1:36" ht="13.5">
      <c r="A26" s="567"/>
      <c r="B26" s="568"/>
      <c r="C26" s="568"/>
      <c r="D26" s="581"/>
      <c r="E26" s="581"/>
      <c r="F26" s="568"/>
      <c r="G26" s="568"/>
      <c r="H26" s="581"/>
      <c r="I26" s="582"/>
      <c r="T26" s="110">
        <v>2.74</v>
      </c>
      <c r="U26" s="110">
        <v>0.6</v>
      </c>
      <c r="V26" s="110">
        <f t="shared" ref="V26:V27" si="3">T26*U26</f>
        <v>1.6440000000000001</v>
      </c>
    </row>
    <row r="27" spans="1:36" ht="13.5">
      <c r="A27" s="571" t="s">
        <v>262</v>
      </c>
      <c r="B27" s="568"/>
      <c r="C27" s="568"/>
      <c r="D27" s="572" t="s">
        <v>257</v>
      </c>
      <c r="E27" s="572">
        <f>SUM(E17:E26)</f>
        <v>4645.26</v>
      </c>
      <c r="F27" s="573"/>
      <c r="G27" s="573"/>
      <c r="H27" s="572" t="s">
        <v>258</v>
      </c>
      <c r="I27" s="574">
        <f>SUM(I18:I26)</f>
        <v>0</v>
      </c>
      <c r="K27" s="110">
        <v>0.7</v>
      </c>
      <c r="L27" s="110">
        <v>3.44</v>
      </c>
      <c r="M27" s="110">
        <f>K27*L27</f>
        <v>2.4079999999999999</v>
      </c>
      <c r="O27" s="621">
        <v>635</v>
      </c>
      <c r="P27" s="622">
        <f>M27*O27</f>
        <v>1529.08</v>
      </c>
      <c r="T27" s="110">
        <v>0.9</v>
      </c>
      <c r="U27" s="110">
        <v>0.6</v>
      </c>
      <c r="V27" s="110">
        <f t="shared" si="3"/>
        <v>0.54</v>
      </c>
      <c r="AE27" s="110">
        <v>2.7</v>
      </c>
      <c r="AF27" s="110">
        <v>0.6</v>
      </c>
      <c r="AG27" s="110">
        <f>AF27*AE27</f>
        <v>1.62</v>
      </c>
    </row>
    <row r="28" spans="1:36" ht="14.25" thickBot="1">
      <c r="A28" s="575"/>
      <c r="B28" s="576"/>
      <c r="C28" s="576"/>
      <c r="D28" s="583"/>
      <c r="E28" s="583"/>
      <c r="F28" s="576"/>
      <c r="G28" s="576"/>
      <c r="H28" s="577" t="s">
        <v>263</v>
      </c>
      <c r="I28" s="578">
        <f>I27-E27</f>
        <v>-4645.26</v>
      </c>
      <c r="O28" s="621">
        <v>755</v>
      </c>
      <c r="P28" s="622">
        <f>M27*O28</f>
        <v>1818.04</v>
      </c>
      <c r="V28" s="110">
        <f>SUM(V26:V27)</f>
        <v>2.1840000000000002</v>
      </c>
      <c r="Y28" s="621"/>
      <c r="AE28" s="110">
        <v>0.9</v>
      </c>
      <c r="AF28" s="110">
        <v>0.6</v>
      </c>
      <c r="AG28" s="110">
        <f>AF28*AE28</f>
        <v>0.54</v>
      </c>
    </row>
    <row r="29" spans="1:36" ht="15.75" thickBot="1">
      <c r="AG29" s="110">
        <f>SUM(AG27:AG28)</f>
        <v>2.16</v>
      </c>
      <c r="AH29" s="110" t="s">
        <v>1901</v>
      </c>
      <c r="AI29" s="621">
        <v>635</v>
      </c>
      <c r="AJ29" s="622">
        <f>AI29*AG29</f>
        <v>1371.6000000000001</v>
      </c>
    </row>
    <row r="30" spans="1:36" ht="13.5">
      <c r="A30" s="565" t="s">
        <v>1667</v>
      </c>
      <c r="B30" s="566"/>
      <c r="C30" s="566"/>
      <c r="D30" s="579"/>
      <c r="E30" s="579"/>
      <c r="F30" s="566"/>
      <c r="G30" s="566"/>
      <c r="H30" s="579"/>
      <c r="I30" s="580"/>
      <c r="S30" s="110" t="s">
        <v>1869</v>
      </c>
      <c r="AJ30" s="110">
        <v>1730</v>
      </c>
    </row>
    <row r="31" spans="1:36" ht="13.5">
      <c r="A31" s="567" t="s">
        <v>1661</v>
      </c>
      <c r="B31" s="568">
        <f>7.7*1.3</f>
        <v>10.01</v>
      </c>
      <c r="C31" s="568"/>
      <c r="D31" s="581">
        <v>555</v>
      </c>
      <c r="E31" s="581">
        <f>SUM(D31*B31)</f>
        <v>5555.55</v>
      </c>
      <c r="F31" s="570"/>
      <c r="G31" s="568"/>
      <c r="H31" s="581"/>
      <c r="I31" s="582"/>
      <c r="T31" s="110">
        <v>0.9</v>
      </c>
      <c r="U31" s="110">
        <v>0.53</v>
      </c>
      <c r="V31" s="110">
        <f>T31*U31</f>
        <v>0.47700000000000004</v>
      </c>
      <c r="X31" s="621">
        <v>635</v>
      </c>
      <c r="Y31" s="622">
        <f>X31*V31</f>
        <v>302.89500000000004</v>
      </c>
      <c r="AA31" s="621">
        <v>714</v>
      </c>
      <c r="AB31" s="622">
        <f>AA31-Y31</f>
        <v>411.10499999999996</v>
      </c>
      <c r="AC31" s="622">
        <f>AB31*1.36</f>
        <v>559.1028</v>
      </c>
      <c r="AJ31" s="622">
        <f>AJ30-AJ29</f>
        <v>358.39999999999986</v>
      </c>
    </row>
    <row r="32" spans="1:36" ht="13.5">
      <c r="A32" s="567" t="s">
        <v>1668</v>
      </c>
      <c r="B32" s="568">
        <v>10</v>
      </c>
      <c r="C32" s="568"/>
      <c r="D32" s="581">
        <v>19</v>
      </c>
      <c r="E32" s="569">
        <f>SUM(D32*B32)</f>
        <v>190</v>
      </c>
      <c r="F32" s="570"/>
      <c r="G32" s="568"/>
      <c r="H32" s="581"/>
      <c r="I32" s="582"/>
      <c r="AJ32" s="622">
        <f>AJ31*1.36</f>
        <v>487.42399999999986</v>
      </c>
    </row>
    <row r="33" spans="1:36" ht="13.5">
      <c r="A33" s="567" t="s">
        <v>1669</v>
      </c>
      <c r="B33" s="568">
        <v>2.6</v>
      </c>
      <c r="C33" s="568"/>
      <c r="D33" s="581">
        <v>660</v>
      </c>
      <c r="E33" s="569">
        <f>SUM(D33*B33)</f>
        <v>1716</v>
      </c>
      <c r="F33" s="570"/>
      <c r="G33" s="568"/>
      <c r="H33" s="581"/>
      <c r="I33" s="582"/>
    </row>
    <row r="34" spans="1:36" ht="13.5">
      <c r="A34" s="567" t="s">
        <v>4</v>
      </c>
      <c r="B34" s="568">
        <v>2.6</v>
      </c>
      <c r="C34" s="568"/>
      <c r="D34" s="581">
        <v>85</v>
      </c>
      <c r="E34" s="569">
        <f>SUM(D34*B34)</f>
        <v>221</v>
      </c>
      <c r="F34" s="570"/>
      <c r="G34" s="568"/>
      <c r="H34" s="581"/>
      <c r="I34" s="582"/>
      <c r="S34" s="110" t="s">
        <v>1451</v>
      </c>
    </row>
    <row r="35" spans="1:36" ht="13.5">
      <c r="A35" s="567" t="s">
        <v>1670</v>
      </c>
      <c r="B35" s="568">
        <v>1.3</v>
      </c>
      <c r="C35" s="568"/>
      <c r="D35" s="581">
        <v>40</v>
      </c>
      <c r="E35" s="569">
        <f>SUM(D35*B35)</f>
        <v>52</v>
      </c>
      <c r="F35" s="570"/>
      <c r="G35" s="568"/>
      <c r="H35" s="581"/>
      <c r="I35" s="582"/>
      <c r="T35" s="110">
        <v>0.9</v>
      </c>
      <c r="U35" s="110">
        <v>0.53</v>
      </c>
      <c r="V35" s="110">
        <f>T35*U35</f>
        <v>0.47700000000000004</v>
      </c>
      <c r="X35" s="621">
        <v>635</v>
      </c>
      <c r="Y35" s="622">
        <f>V35*X35</f>
        <v>302.89500000000004</v>
      </c>
      <c r="AA35" s="622">
        <v>468.6</v>
      </c>
      <c r="AB35" s="622">
        <f>AA35-Y35</f>
        <v>165.70499999999998</v>
      </c>
      <c r="AC35" s="622">
        <f>AB35*1.36</f>
        <v>225.3588</v>
      </c>
    </row>
    <row r="36" spans="1:36" ht="13.5">
      <c r="A36" s="567"/>
      <c r="B36" s="568"/>
      <c r="C36" s="568"/>
      <c r="D36" s="581"/>
      <c r="E36" s="581"/>
      <c r="F36" s="568"/>
      <c r="G36" s="568"/>
      <c r="H36" s="581"/>
      <c r="I36" s="582"/>
    </row>
    <row r="37" spans="1:36" ht="13.5">
      <c r="A37" s="567"/>
      <c r="B37" s="568"/>
      <c r="C37" s="568"/>
      <c r="D37" s="581"/>
      <c r="E37" s="581"/>
      <c r="F37" s="568"/>
      <c r="G37" s="568"/>
      <c r="H37" s="581"/>
      <c r="I37" s="582"/>
      <c r="S37" s="110" t="s">
        <v>1870</v>
      </c>
    </row>
    <row r="38" spans="1:36" ht="13.5">
      <c r="A38" s="567"/>
      <c r="B38" s="568"/>
      <c r="C38" s="568"/>
      <c r="D38" s="581"/>
      <c r="E38" s="581"/>
      <c r="F38" s="568"/>
      <c r="G38" s="568"/>
      <c r="H38" s="581"/>
      <c r="I38" s="582"/>
      <c r="T38" s="110">
        <v>1.8</v>
      </c>
      <c r="U38" s="110">
        <v>0.53</v>
      </c>
      <c r="V38" s="110">
        <f>T38*U38</f>
        <v>0.95400000000000007</v>
      </c>
      <c r="X38" s="621">
        <v>635</v>
      </c>
      <c r="Y38" s="622">
        <f>X38*V38</f>
        <v>605.79000000000008</v>
      </c>
      <c r="AA38" s="622">
        <v>937.2</v>
      </c>
      <c r="AB38" s="622">
        <f>AA38-Y38</f>
        <v>331.40999999999997</v>
      </c>
      <c r="AC38" s="622">
        <f>AB38*1.36</f>
        <v>450.7176</v>
      </c>
      <c r="AE38" s="110">
        <v>1.8</v>
      </c>
      <c r="AF38" s="110">
        <v>0.53</v>
      </c>
      <c r="AG38" s="110">
        <f>AF38*AE38</f>
        <v>0.95400000000000007</v>
      </c>
      <c r="AH38" s="110" t="s">
        <v>1901</v>
      </c>
      <c r="AI38" s="621">
        <v>755</v>
      </c>
      <c r="AJ38" s="632">
        <f>AI38*AG38</f>
        <v>720.2700000000001</v>
      </c>
    </row>
    <row r="39" spans="1:36" ht="13.5">
      <c r="A39" s="567"/>
      <c r="B39" s="568"/>
      <c r="C39" s="568"/>
      <c r="D39" s="572" t="s">
        <v>257</v>
      </c>
      <c r="E39" s="572">
        <f>SUM(E31:E38)</f>
        <v>7734.55</v>
      </c>
      <c r="F39" s="573"/>
      <c r="G39" s="573"/>
      <c r="H39" s="572" t="s">
        <v>258</v>
      </c>
      <c r="I39" s="574">
        <f>SUM(I31:I38)</f>
        <v>0</v>
      </c>
      <c r="AJ39" s="110">
        <v>937.2</v>
      </c>
    </row>
    <row r="40" spans="1:36" ht="14.25" thickBot="1">
      <c r="A40" s="575"/>
      <c r="B40" s="576"/>
      <c r="C40" s="576"/>
      <c r="D40" s="583"/>
      <c r="E40" s="583"/>
      <c r="F40" s="576"/>
      <c r="G40" s="576"/>
      <c r="H40" s="577" t="s">
        <v>263</v>
      </c>
      <c r="I40" s="578">
        <f>I39-E39</f>
        <v>-7734.55</v>
      </c>
      <c r="S40" s="110" t="s">
        <v>1872</v>
      </c>
      <c r="T40" s="110">
        <v>1.5</v>
      </c>
      <c r="U40" s="110">
        <v>0.6</v>
      </c>
      <c r="V40" s="110">
        <f>T40*U40</f>
        <v>0.89999999999999991</v>
      </c>
      <c r="X40" s="621">
        <v>630</v>
      </c>
      <c r="Y40" s="621">
        <f>X40*V40</f>
        <v>567</v>
      </c>
      <c r="AA40" s="622">
        <v>745.1</v>
      </c>
      <c r="AB40" s="622">
        <f>AA40-Y40</f>
        <v>178.10000000000002</v>
      </c>
      <c r="AC40" s="622">
        <f>AB40*1.36</f>
        <v>242.21600000000004</v>
      </c>
      <c r="AJ40" s="110">
        <v>127.8</v>
      </c>
    </row>
    <row r="41" spans="1:36" ht="15.75" thickBot="1">
      <c r="AJ41" s="633">
        <f>SUM(AJ39:AJ40)</f>
        <v>1065</v>
      </c>
    </row>
    <row r="42" spans="1:36" ht="13.5">
      <c r="A42" s="565" t="s">
        <v>1674</v>
      </c>
      <c r="B42" s="566"/>
      <c r="C42" s="566"/>
      <c r="D42" s="579"/>
      <c r="E42" s="579"/>
      <c r="F42" s="566"/>
      <c r="G42" s="566"/>
      <c r="H42" s="579"/>
      <c r="I42" s="580"/>
    </row>
    <row r="43" spans="1:36" ht="13.5">
      <c r="A43" s="584" t="s">
        <v>1661</v>
      </c>
      <c r="B43" s="568">
        <f>0.55*2.4</f>
        <v>1.32</v>
      </c>
      <c r="C43" s="568"/>
      <c r="D43" s="586">
        <v>555</v>
      </c>
      <c r="E43" s="586">
        <f>SUM(D43*B43)</f>
        <v>732.6</v>
      </c>
      <c r="F43" s="568"/>
      <c r="G43" s="568"/>
      <c r="H43" s="581"/>
      <c r="I43" s="585"/>
      <c r="K43" s="110" t="s">
        <v>1675</v>
      </c>
      <c r="AJ43" s="622">
        <f>AJ41-AJ38</f>
        <v>344.7299999999999</v>
      </c>
    </row>
    <row r="44" spans="1:36" ht="13.5">
      <c r="A44" s="567" t="s">
        <v>1663</v>
      </c>
      <c r="B44" s="568">
        <v>0</v>
      </c>
      <c r="C44" s="568"/>
      <c r="D44" s="587">
        <v>660</v>
      </c>
      <c r="E44" s="587">
        <f>SUM(D44*B44)</f>
        <v>0</v>
      </c>
      <c r="F44" s="568"/>
      <c r="G44" s="568"/>
      <c r="H44" s="581"/>
      <c r="I44" s="582"/>
      <c r="AJ44" s="622">
        <f>AJ43*1.36</f>
        <v>468.83279999999991</v>
      </c>
    </row>
    <row r="45" spans="1:36" ht="13.5">
      <c r="A45" s="567" t="s">
        <v>131</v>
      </c>
      <c r="B45" s="568">
        <v>1.32</v>
      </c>
      <c r="C45" s="568"/>
      <c r="D45" s="587">
        <v>103</v>
      </c>
      <c r="E45" s="587">
        <f>SUM(D45*B45)</f>
        <v>135.96</v>
      </c>
      <c r="F45" s="568"/>
      <c r="G45" s="568"/>
      <c r="H45" s="581"/>
      <c r="I45" s="582"/>
    </row>
    <row r="46" spans="1:36" ht="13.5">
      <c r="A46" s="567" t="s">
        <v>1668</v>
      </c>
      <c r="B46" s="568">
        <v>1.32</v>
      </c>
      <c r="C46" s="568"/>
      <c r="D46" s="587">
        <v>19</v>
      </c>
      <c r="E46" s="587">
        <f>SUM(D46*B46)</f>
        <v>25.080000000000002</v>
      </c>
      <c r="F46" s="568"/>
      <c r="G46" s="568"/>
      <c r="H46" s="581"/>
      <c r="I46" s="582"/>
      <c r="AE46" s="110">
        <v>0.9</v>
      </c>
      <c r="AF46" s="110">
        <v>0.53</v>
      </c>
      <c r="AG46" s="110">
        <f>AF46*AE46</f>
        <v>0.47700000000000004</v>
      </c>
      <c r="AH46" s="110" t="s">
        <v>1901</v>
      </c>
      <c r="AI46" s="621">
        <v>755</v>
      </c>
      <c r="AJ46" s="622">
        <f>AI46*AG46</f>
        <v>360.13500000000005</v>
      </c>
    </row>
    <row r="47" spans="1:36" ht="13.5">
      <c r="A47" s="567" t="s">
        <v>4</v>
      </c>
      <c r="B47" s="568">
        <v>0.55000000000000004</v>
      </c>
      <c r="C47" s="568"/>
      <c r="D47" s="587">
        <v>85</v>
      </c>
      <c r="E47" s="587">
        <f>SUM(D47*B47)</f>
        <v>46.750000000000007</v>
      </c>
      <c r="F47" s="568"/>
      <c r="G47" s="568"/>
      <c r="H47" s="581"/>
      <c r="I47" s="582"/>
      <c r="AJ47" s="110">
        <v>468.6</v>
      </c>
    </row>
    <row r="48" spans="1:36" ht="13.5">
      <c r="A48" s="567"/>
      <c r="B48" s="568"/>
      <c r="C48" s="568"/>
      <c r="D48" s="588" t="s">
        <v>257</v>
      </c>
      <c r="E48" s="588">
        <f>SUM(E43:E47)</f>
        <v>940.3900000000001</v>
      </c>
      <c r="F48" s="573"/>
      <c r="G48" s="573"/>
      <c r="H48" s="572" t="s">
        <v>258</v>
      </c>
      <c r="I48" s="574">
        <f>SUM(I43:I47)</f>
        <v>0</v>
      </c>
      <c r="K48" s="110" t="s">
        <v>1963</v>
      </c>
      <c r="P48" s="110" t="s">
        <v>1988</v>
      </c>
      <c r="AJ48" s="622">
        <f>AJ47-AJ46</f>
        <v>108.46499999999997</v>
      </c>
    </row>
    <row r="49" spans="1:36" ht="14.25" thickBot="1">
      <c r="A49" s="575"/>
      <c r="B49" s="576"/>
      <c r="C49" s="576"/>
      <c r="D49" s="583"/>
      <c r="E49" s="583"/>
      <c r="F49" s="576"/>
      <c r="G49" s="576"/>
      <c r="H49" s="577" t="s">
        <v>263</v>
      </c>
      <c r="I49" s="578">
        <f>I48-E48</f>
        <v>-940.3900000000001</v>
      </c>
      <c r="K49" s="110" t="s">
        <v>1960</v>
      </c>
      <c r="L49" s="110" t="s">
        <v>1961</v>
      </c>
      <c r="P49" s="110" t="s">
        <v>1989</v>
      </c>
      <c r="Q49" s="110" t="s">
        <v>1991</v>
      </c>
      <c r="AJ49" s="622">
        <f>AJ48*1.36</f>
        <v>147.51239999999999</v>
      </c>
    </row>
    <row r="50" spans="1:36" ht="15.75" thickBot="1">
      <c r="K50" s="621">
        <v>825</v>
      </c>
      <c r="L50" s="110" t="s">
        <v>1472</v>
      </c>
      <c r="P50" s="621">
        <v>309</v>
      </c>
      <c r="Q50" s="110" t="s">
        <v>1990</v>
      </c>
    </row>
    <row r="51" spans="1:36" ht="13.5">
      <c r="A51" s="565" t="s">
        <v>1700</v>
      </c>
      <c r="B51" s="566"/>
      <c r="C51" s="566"/>
      <c r="D51" s="579"/>
      <c r="E51" s="579"/>
      <c r="F51" s="566"/>
      <c r="G51" s="566"/>
      <c r="H51" s="579"/>
      <c r="I51" s="580"/>
      <c r="K51" s="621">
        <v>880</v>
      </c>
      <c r="L51" s="110" t="s">
        <v>1962</v>
      </c>
    </row>
    <row r="52" spans="1:36" ht="13.5">
      <c r="A52" s="567" t="s">
        <v>1701</v>
      </c>
      <c r="B52" s="568">
        <v>-2.27</v>
      </c>
      <c r="C52" s="568"/>
      <c r="D52" s="581">
        <v>200</v>
      </c>
      <c r="E52" s="581">
        <f>SUM(D52*B52)</f>
        <v>-454</v>
      </c>
      <c r="F52" s="568"/>
      <c r="G52" s="568"/>
      <c r="H52" s="572"/>
      <c r="I52" s="582"/>
      <c r="K52" s="621">
        <v>560</v>
      </c>
      <c r="L52" s="110" t="s">
        <v>1964</v>
      </c>
    </row>
    <row r="53" spans="1:36" ht="13.5">
      <c r="A53" s="567">
        <v>1818</v>
      </c>
      <c r="B53" s="568">
        <v>-1</v>
      </c>
      <c r="C53" s="568" t="s">
        <v>1713</v>
      </c>
      <c r="D53" s="581">
        <v>500</v>
      </c>
      <c r="E53" s="581">
        <f t="shared" ref="E53:E57" si="4">SUM(D53*B53)</f>
        <v>-500</v>
      </c>
      <c r="F53" s="568"/>
      <c r="G53" s="568"/>
      <c r="H53" s="581"/>
      <c r="I53" s="582"/>
      <c r="K53" s="110">
        <v>375</v>
      </c>
      <c r="L53" s="110" t="s">
        <v>1968</v>
      </c>
    </row>
    <row r="54" spans="1:36" ht="13.5">
      <c r="A54" s="567"/>
      <c r="B54" s="568"/>
      <c r="C54" s="568"/>
      <c r="D54" s="581"/>
      <c r="E54" s="581"/>
      <c r="F54" s="568"/>
      <c r="G54" s="568"/>
      <c r="H54" s="581"/>
      <c r="I54" s="582"/>
      <c r="K54" s="110">
        <v>280</v>
      </c>
      <c r="L54" s="110" t="s">
        <v>1969</v>
      </c>
    </row>
    <row r="55" spans="1:36" ht="13.5">
      <c r="A55" s="567"/>
      <c r="B55" s="568"/>
      <c r="C55" s="568"/>
      <c r="D55" s="581"/>
      <c r="E55" s="581"/>
      <c r="F55" s="568"/>
      <c r="G55" s="568"/>
      <c r="H55" s="581"/>
      <c r="I55" s="582"/>
    </row>
    <row r="56" spans="1:36" ht="13.5">
      <c r="A56" s="567">
        <v>1824</v>
      </c>
      <c r="B56" s="568">
        <v>-1</v>
      </c>
      <c r="C56" s="568" t="s">
        <v>1713</v>
      </c>
      <c r="D56" s="581">
        <v>790</v>
      </c>
      <c r="E56" s="581">
        <f t="shared" si="4"/>
        <v>-790</v>
      </c>
      <c r="F56" s="568"/>
      <c r="G56" s="568"/>
      <c r="H56" s="569"/>
      <c r="I56" s="582"/>
    </row>
    <row r="57" spans="1:36" ht="13.5">
      <c r="A57" s="567">
        <v>1812</v>
      </c>
      <c r="B57" s="568">
        <v>2</v>
      </c>
      <c r="C57" s="568" t="s">
        <v>1713</v>
      </c>
      <c r="D57" s="581">
        <v>450</v>
      </c>
      <c r="E57" s="581">
        <f t="shared" si="4"/>
        <v>900</v>
      </c>
      <c r="F57" s="568"/>
      <c r="G57" s="568"/>
      <c r="H57" s="569"/>
      <c r="I57" s="582"/>
      <c r="K57" s="110" t="s">
        <v>1987</v>
      </c>
    </row>
    <row r="58" spans="1:36" ht="13.5">
      <c r="A58" s="567"/>
      <c r="B58" s="568"/>
      <c r="C58" s="568"/>
      <c r="D58" s="581"/>
      <c r="E58" s="581"/>
      <c r="F58" s="568"/>
      <c r="G58" s="568"/>
      <c r="H58" s="581"/>
      <c r="I58" s="582"/>
      <c r="K58" s="110" t="s">
        <v>1966</v>
      </c>
    </row>
    <row r="59" spans="1:36" ht="13.5">
      <c r="A59" s="567"/>
      <c r="B59" s="568"/>
      <c r="C59" s="568"/>
      <c r="D59" s="572" t="s">
        <v>257</v>
      </c>
      <c r="E59" s="572">
        <f>SUM(E52:E58)</f>
        <v>-844</v>
      </c>
      <c r="F59" s="573"/>
      <c r="G59" s="573"/>
      <c r="H59" s="572" t="s">
        <v>258</v>
      </c>
      <c r="I59" s="574">
        <f>SUM(I52:I58)</f>
        <v>0</v>
      </c>
      <c r="K59" s="110" t="s">
        <v>1965</v>
      </c>
    </row>
    <row r="60" spans="1:36" ht="14.25" thickBot="1">
      <c r="A60" s="575"/>
      <c r="B60" s="576"/>
      <c r="C60" s="576"/>
      <c r="D60" s="583"/>
      <c r="E60" s="583"/>
      <c r="F60" s="576"/>
      <c r="G60" s="576"/>
      <c r="H60" s="577" t="s">
        <v>263</v>
      </c>
      <c r="I60" s="578">
        <f>I59-E59</f>
        <v>844</v>
      </c>
    </row>
    <row r="61" spans="1:36" ht="15.75" thickBot="1">
      <c r="K61" s="110" t="s">
        <v>1967</v>
      </c>
    </row>
    <row r="62" spans="1:36">
      <c r="A62" s="118" t="s">
        <v>1711</v>
      </c>
      <c r="B62" s="119"/>
      <c r="C62" s="119"/>
      <c r="D62" s="120"/>
      <c r="E62" s="120"/>
      <c r="F62" s="119"/>
      <c r="G62" s="119"/>
      <c r="H62" s="120"/>
      <c r="I62" s="121"/>
    </row>
    <row r="63" spans="1:36">
      <c r="A63" s="133" t="s">
        <v>1712</v>
      </c>
      <c r="B63" s="110">
        <v>-1</v>
      </c>
      <c r="C63" s="110" t="s">
        <v>1713</v>
      </c>
      <c r="D63" s="123">
        <v>235</v>
      </c>
      <c r="E63" s="123">
        <f>B63*D63</f>
        <v>-235</v>
      </c>
      <c r="H63" s="123"/>
      <c r="I63" s="124"/>
    </row>
    <row r="64" spans="1:36">
      <c r="A64" s="122"/>
      <c r="D64" s="123"/>
      <c r="E64" s="123"/>
      <c r="H64" s="123"/>
      <c r="I64" s="124"/>
    </row>
    <row r="65" spans="1:14" ht="12.75">
      <c r="A65" s="122"/>
      <c r="D65" s="125" t="s">
        <v>257</v>
      </c>
      <c r="E65" s="125">
        <f>SUM(E63:E64)</f>
        <v>-235</v>
      </c>
      <c r="F65" s="112"/>
      <c r="G65" s="112"/>
      <c r="H65" s="125" t="s">
        <v>258</v>
      </c>
      <c r="I65" s="126">
        <f>SUM(I63:I64)</f>
        <v>0</v>
      </c>
    </row>
    <row r="66" spans="1:14" ht="15.75" thickBot="1">
      <c r="A66" s="127"/>
      <c r="B66" s="128"/>
      <c r="C66" s="128"/>
      <c r="D66" s="129"/>
      <c r="E66" s="129"/>
      <c r="F66" s="128"/>
      <c r="G66" s="128"/>
      <c r="H66" s="130" t="s">
        <v>263</v>
      </c>
      <c r="I66" s="131">
        <f>I65-E65</f>
        <v>235</v>
      </c>
      <c r="J66" s="590">
        <f>E48+E59+E65</f>
        <v>-138.6099999999999</v>
      </c>
    </row>
    <row r="67" spans="1:14" ht="15.75" thickBot="1"/>
    <row r="68" spans="1:14">
      <c r="A68" s="118" t="s">
        <v>1995</v>
      </c>
      <c r="B68" s="119"/>
      <c r="C68" s="119"/>
      <c r="D68" s="120"/>
      <c r="E68" s="120"/>
      <c r="F68" s="119"/>
      <c r="G68" s="119"/>
      <c r="H68" s="120"/>
      <c r="I68" s="121"/>
    </row>
    <row r="69" spans="1:14">
      <c r="A69" s="122" t="s">
        <v>1996</v>
      </c>
      <c r="B69" s="110">
        <v>8.6999999999999993</v>
      </c>
      <c r="C69" s="110" t="s">
        <v>1998</v>
      </c>
      <c r="D69" s="649">
        <v>200</v>
      </c>
      <c r="E69" s="646"/>
      <c r="F69" s="132"/>
      <c r="G69" s="132"/>
      <c r="H69" s="123"/>
      <c r="I69" s="124">
        <f>SUM(B69*D69)</f>
        <v>1739.9999999999998</v>
      </c>
      <c r="K69" s="110">
        <v>1.2</v>
      </c>
      <c r="L69" s="110">
        <v>7.2</v>
      </c>
      <c r="M69" s="110">
        <f>SUM(K69*L69)</f>
        <v>8.64</v>
      </c>
      <c r="N69" s="110" t="s">
        <v>1997</v>
      </c>
    </row>
    <row r="70" spans="1:14">
      <c r="A70" s="122" t="s">
        <v>1999</v>
      </c>
      <c r="B70" s="110">
        <v>7.2</v>
      </c>
      <c r="C70" s="110" t="s">
        <v>1998</v>
      </c>
      <c r="D70" s="649">
        <v>110</v>
      </c>
      <c r="E70" s="646"/>
      <c r="F70" s="132"/>
      <c r="G70" s="132"/>
      <c r="H70" s="123"/>
      <c r="I70" s="124">
        <f>SUM(B70*D70)</f>
        <v>792</v>
      </c>
    </row>
    <row r="71" spans="1:14">
      <c r="A71" s="122" t="s">
        <v>2000</v>
      </c>
      <c r="B71" s="110">
        <v>2</v>
      </c>
      <c r="C71" s="110" t="s">
        <v>1998</v>
      </c>
      <c r="D71" s="649">
        <v>350</v>
      </c>
      <c r="E71" s="646"/>
      <c r="F71" s="132"/>
      <c r="G71" s="132"/>
      <c r="H71" s="123"/>
      <c r="I71" s="124">
        <f>SUM(B71*D71)</f>
        <v>700</v>
      </c>
    </row>
    <row r="72" spans="1:14">
      <c r="A72" s="122" t="s">
        <v>2002</v>
      </c>
      <c r="B72" s="110">
        <v>-2</v>
      </c>
      <c r="C72" s="110" t="s">
        <v>1998</v>
      </c>
      <c r="D72" s="649">
        <v>350</v>
      </c>
      <c r="E72" s="646"/>
      <c r="F72" s="132"/>
      <c r="G72" s="132"/>
      <c r="H72" s="123"/>
      <c r="I72" s="124">
        <f>SUM(B72*D72)</f>
        <v>-700</v>
      </c>
    </row>
    <row r="73" spans="1:14" ht="12.75">
      <c r="A73" s="122"/>
      <c r="D73" s="650"/>
      <c r="E73" s="647"/>
      <c r="F73" s="648"/>
      <c r="G73" s="648"/>
      <c r="H73" s="125" t="s">
        <v>258</v>
      </c>
      <c r="I73" s="126">
        <f>SUM(I69:I72)</f>
        <v>2532</v>
      </c>
    </row>
    <row r="74" spans="1:14" ht="15.75" thickBot="1">
      <c r="A74" s="127"/>
      <c r="B74" s="128"/>
      <c r="C74" s="128"/>
      <c r="D74" s="129"/>
      <c r="E74" s="129"/>
      <c r="F74" s="128"/>
      <c r="G74" s="128"/>
      <c r="H74" s="130" t="s">
        <v>263</v>
      </c>
      <c r="I74" s="131">
        <f>I73-E73</f>
        <v>2532</v>
      </c>
    </row>
    <row r="75" spans="1:14" ht="15.75" thickBot="1"/>
    <row r="76" spans="1:14">
      <c r="A76" s="118" t="s">
        <v>264</v>
      </c>
      <c r="B76" s="119"/>
      <c r="C76" s="119"/>
      <c r="D76" s="120"/>
      <c r="E76" s="120"/>
      <c r="F76" s="119"/>
      <c r="G76" s="119"/>
      <c r="H76" s="120"/>
      <c r="I76" s="121"/>
    </row>
    <row r="77" spans="1:14">
      <c r="A77" s="122"/>
      <c r="D77" s="123"/>
      <c r="E77" s="123"/>
      <c r="H77" s="123"/>
      <c r="I77" s="124"/>
    </row>
    <row r="78" spans="1:14">
      <c r="A78" s="122"/>
      <c r="D78" s="123"/>
      <c r="E78" s="123"/>
      <c r="H78" s="123"/>
      <c r="I78" s="124"/>
    </row>
    <row r="79" spans="1:14">
      <c r="A79" s="122"/>
      <c r="D79" s="123"/>
      <c r="E79" s="123"/>
      <c r="H79" s="123"/>
      <c r="I79" s="124"/>
    </row>
    <row r="80" spans="1:14">
      <c r="A80" s="122"/>
      <c r="D80" s="123"/>
      <c r="E80" s="123"/>
      <c r="H80" s="123"/>
      <c r="I80" s="124"/>
    </row>
    <row r="81" spans="1:9">
      <c r="A81" s="122"/>
      <c r="D81" s="123"/>
      <c r="E81" s="123"/>
      <c r="H81" s="123"/>
      <c r="I81" s="124"/>
    </row>
    <row r="82" spans="1:9" ht="12.75">
      <c r="A82" s="122"/>
      <c r="D82" s="125" t="s">
        <v>257</v>
      </c>
      <c r="E82" s="125">
        <f>SUM(E80:E81)</f>
        <v>0</v>
      </c>
      <c r="F82" s="112"/>
      <c r="G82" s="112"/>
      <c r="H82" s="125" t="s">
        <v>258</v>
      </c>
      <c r="I82" s="126">
        <f>SUM(I77:I81)</f>
        <v>0</v>
      </c>
    </row>
    <row r="83" spans="1:9" ht="15.75" thickBot="1">
      <c r="A83" s="127"/>
      <c r="B83" s="128"/>
      <c r="C83" s="128"/>
      <c r="D83" s="129"/>
      <c r="E83" s="129"/>
      <c r="F83" s="128"/>
      <c r="G83" s="128"/>
      <c r="H83" s="130" t="s">
        <v>263</v>
      </c>
      <c r="I83" s="131">
        <f>I82-E82</f>
        <v>0</v>
      </c>
    </row>
    <row r="84" spans="1:9" ht="15.75" thickBot="1">
      <c r="A84" s="134"/>
    </row>
    <row r="85" spans="1:9">
      <c r="A85" s="112" t="s">
        <v>265</v>
      </c>
      <c r="B85" s="119"/>
      <c r="C85" s="119"/>
      <c r="D85" s="120"/>
      <c r="E85" s="120"/>
      <c r="F85" s="119"/>
      <c r="G85" s="119"/>
      <c r="H85" s="120"/>
      <c r="I85" s="121"/>
    </row>
    <row r="86" spans="1:9">
      <c r="A86" s="122"/>
      <c r="D86" s="123"/>
      <c r="E86" s="123"/>
      <c r="H86" s="123"/>
      <c r="I86" s="124"/>
    </row>
    <row r="87" spans="1:9">
      <c r="A87" s="122"/>
      <c r="D87" s="123"/>
      <c r="E87" s="123"/>
      <c r="H87" s="123"/>
      <c r="I87" s="124"/>
    </row>
    <row r="88" spans="1:9">
      <c r="A88" s="122"/>
      <c r="D88" s="123"/>
      <c r="E88" s="123"/>
      <c r="H88" s="123"/>
      <c r="I88" s="124"/>
    </row>
    <row r="89" spans="1:9">
      <c r="A89" s="122"/>
      <c r="D89" s="123"/>
      <c r="E89" s="123"/>
      <c r="H89" s="123"/>
      <c r="I89" s="124"/>
    </row>
    <row r="90" spans="1:9" ht="12.75">
      <c r="A90" s="122"/>
      <c r="D90" s="125" t="s">
        <v>257</v>
      </c>
      <c r="E90" s="125">
        <f>SUM(E86:E89)</f>
        <v>0</v>
      </c>
      <c r="F90" s="112"/>
      <c r="G90" s="112"/>
      <c r="H90" s="125" t="s">
        <v>258</v>
      </c>
      <c r="I90" s="126">
        <f>SUM(I86:I89)</f>
        <v>0</v>
      </c>
    </row>
    <row r="91" spans="1:9" ht="15.75" thickBot="1">
      <c r="A91" s="127"/>
      <c r="B91" s="128"/>
      <c r="C91" s="128"/>
      <c r="D91" s="129"/>
      <c r="E91" s="129"/>
      <c r="F91" s="128"/>
      <c r="G91" s="128"/>
      <c r="H91" s="130" t="s">
        <v>263</v>
      </c>
      <c r="I91" s="131">
        <f>I90-E90</f>
        <v>0</v>
      </c>
    </row>
    <row r="92" spans="1:9" ht="15.75" thickBot="1">
      <c r="A92" s="134"/>
    </row>
    <row r="93" spans="1:9">
      <c r="A93" s="112" t="s">
        <v>266</v>
      </c>
      <c r="B93" s="119"/>
      <c r="C93" s="119"/>
      <c r="D93" s="120"/>
      <c r="E93" s="120"/>
      <c r="F93" s="119"/>
      <c r="G93" s="119"/>
      <c r="H93" s="120"/>
      <c r="I93" s="121"/>
    </row>
    <row r="94" spans="1:9">
      <c r="A94" s="122"/>
      <c r="D94" s="123"/>
      <c r="E94" s="123"/>
      <c r="H94" s="123"/>
      <c r="I94" s="124"/>
    </row>
    <row r="95" spans="1:9">
      <c r="A95" s="122"/>
      <c r="D95" s="123"/>
      <c r="E95" s="123"/>
      <c r="H95" s="123"/>
      <c r="I95" s="124"/>
    </row>
    <row r="96" spans="1:9">
      <c r="A96" s="122"/>
      <c r="D96" s="123"/>
      <c r="E96" s="123"/>
      <c r="H96" s="123"/>
      <c r="I96" s="124"/>
    </row>
    <row r="97" spans="1:9" ht="12.75">
      <c r="A97" s="122"/>
      <c r="D97" s="125" t="s">
        <v>257</v>
      </c>
      <c r="E97" s="125">
        <f>SUM(E94:E96)</f>
        <v>0</v>
      </c>
      <c r="F97" s="112"/>
      <c r="G97" s="112"/>
      <c r="H97" s="125" t="s">
        <v>258</v>
      </c>
      <c r="I97" s="126">
        <f>SUM(I94:I96)</f>
        <v>0</v>
      </c>
    </row>
    <row r="98" spans="1:9" ht="15.75" thickBot="1">
      <c r="A98" s="127"/>
      <c r="B98" s="128"/>
      <c r="C98" s="128"/>
      <c r="D98" s="129"/>
      <c r="E98" s="129"/>
      <c r="F98" s="128"/>
      <c r="G98" s="128"/>
      <c r="H98" s="130" t="s">
        <v>263</v>
      </c>
      <c r="I98" s="131">
        <f>I97-E97</f>
        <v>0</v>
      </c>
    </row>
    <row r="99" spans="1:9" ht="15.75" thickBot="1">
      <c r="A99" s="134"/>
    </row>
    <row r="100" spans="1:9">
      <c r="A100" s="112" t="s">
        <v>267</v>
      </c>
      <c r="B100" s="119"/>
      <c r="C100" s="119"/>
      <c r="D100" s="120"/>
      <c r="E100" s="120"/>
      <c r="F100" s="119"/>
      <c r="G100" s="119"/>
      <c r="H100" s="120"/>
      <c r="I100" s="121"/>
    </row>
    <row r="101" spans="1:9">
      <c r="A101" s="122"/>
      <c r="D101" s="123"/>
      <c r="E101" s="123"/>
      <c r="H101" s="123"/>
      <c r="I101" s="124"/>
    </row>
    <row r="102" spans="1:9">
      <c r="A102" s="122"/>
      <c r="D102" s="123"/>
      <c r="E102" s="123"/>
      <c r="H102" s="123"/>
      <c r="I102" s="124"/>
    </row>
    <row r="103" spans="1:9">
      <c r="A103" s="122"/>
      <c r="D103" s="123"/>
      <c r="E103" s="123"/>
      <c r="H103" s="123"/>
      <c r="I103" s="124"/>
    </row>
    <row r="104" spans="1:9">
      <c r="A104" s="122"/>
      <c r="D104" s="123"/>
      <c r="E104" s="123"/>
      <c r="H104" s="123"/>
      <c r="I104" s="124"/>
    </row>
    <row r="105" spans="1:9">
      <c r="A105" s="122"/>
      <c r="D105" s="123"/>
      <c r="E105" s="123"/>
      <c r="H105" s="123"/>
      <c r="I105" s="124"/>
    </row>
    <row r="106" spans="1:9" ht="12.75">
      <c r="A106" s="122"/>
      <c r="D106" s="125" t="s">
        <v>257</v>
      </c>
      <c r="E106" s="125">
        <f>SUM(E101:E105)</f>
        <v>0</v>
      </c>
      <c r="F106" s="112"/>
      <c r="G106" s="112"/>
      <c r="H106" s="125" t="s">
        <v>258</v>
      </c>
      <c r="I106" s="126">
        <f>SUM(I101:I105)</f>
        <v>0</v>
      </c>
    </row>
    <row r="107" spans="1:9" ht="15.75" thickBot="1">
      <c r="A107" s="127"/>
      <c r="B107" s="128"/>
      <c r="C107" s="128"/>
      <c r="D107" s="129"/>
      <c r="E107" s="129"/>
      <c r="F107" s="128"/>
      <c r="G107" s="128"/>
      <c r="H107" s="130" t="s">
        <v>263</v>
      </c>
      <c r="I107" s="131">
        <f>I106-E106</f>
        <v>0</v>
      </c>
    </row>
    <row r="108" spans="1:9" ht="15.75" thickBot="1"/>
    <row r="109" spans="1:9">
      <c r="A109" s="118" t="s">
        <v>268</v>
      </c>
      <c r="B109" s="119"/>
      <c r="C109" s="119"/>
      <c r="D109" s="120"/>
      <c r="E109" s="120"/>
      <c r="F109" s="119"/>
      <c r="G109" s="119"/>
      <c r="H109" s="120"/>
      <c r="I109" s="121"/>
    </row>
    <row r="110" spans="1:9">
      <c r="A110" s="122"/>
      <c r="D110" s="123"/>
      <c r="E110" s="123"/>
      <c r="H110" s="123"/>
      <c r="I110" s="124"/>
    </row>
    <row r="111" spans="1:9">
      <c r="A111" s="122"/>
      <c r="D111" s="123"/>
      <c r="E111" s="123"/>
      <c r="H111" s="123"/>
      <c r="I111" s="124"/>
    </row>
    <row r="112" spans="1:9">
      <c r="A112" s="122"/>
      <c r="D112" s="123"/>
      <c r="E112" s="123"/>
      <c r="H112" s="123"/>
      <c r="I112" s="124"/>
    </row>
    <row r="113" spans="1:9">
      <c r="A113" s="122"/>
      <c r="D113" s="123"/>
      <c r="E113" s="123"/>
      <c r="H113" s="123"/>
      <c r="I113" s="124"/>
    </row>
    <row r="114" spans="1:9">
      <c r="A114" s="122"/>
      <c r="D114" s="123"/>
      <c r="E114" s="123"/>
      <c r="H114" s="123"/>
      <c r="I114" s="124"/>
    </row>
    <row r="115" spans="1:9" ht="12.75">
      <c r="A115" s="122"/>
      <c r="D115" s="125" t="s">
        <v>257</v>
      </c>
      <c r="E115" s="125">
        <f>SUM(E110:E114)</f>
        <v>0</v>
      </c>
      <c r="F115" s="112"/>
      <c r="G115" s="112"/>
      <c r="H115" s="125" t="s">
        <v>258</v>
      </c>
      <c r="I115" s="126">
        <f>SUM(I110:I114)</f>
        <v>0</v>
      </c>
    </row>
    <row r="116" spans="1:9" ht="15.75" thickBot="1">
      <c r="A116" s="127"/>
      <c r="B116" s="128"/>
      <c r="C116" s="128"/>
      <c r="D116" s="129"/>
      <c r="E116" s="129"/>
      <c r="F116" s="128"/>
      <c r="G116" s="128"/>
      <c r="H116" s="130" t="s">
        <v>263</v>
      </c>
      <c r="I116" s="131">
        <f>I115-E115</f>
        <v>0</v>
      </c>
    </row>
    <row r="117" spans="1:9" ht="15.75" thickBot="1">
      <c r="A117" s="134"/>
    </row>
    <row r="118" spans="1:9">
      <c r="A118" s="112" t="s">
        <v>269</v>
      </c>
      <c r="B118" s="119"/>
      <c r="C118" s="119"/>
      <c r="D118" s="120"/>
      <c r="E118" s="120"/>
      <c r="F118" s="119"/>
      <c r="G118" s="119"/>
      <c r="H118" s="120"/>
      <c r="I118" s="121"/>
    </row>
    <row r="119" spans="1:9">
      <c r="A119" s="122"/>
      <c r="D119" s="123"/>
      <c r="E119" s="123"/>
      <c r="H119" s="123"/>
      <c r="I119" s="124"/>
    </row>
    <row r="120" spans="1:9">
      <c r="A120" s="122"/>
      <c r="D120" s="123"/>
      <c r="E120" s="123"/>
      <c r="F120" s="132"/>
      <c r="H120" s="123"/>
      <c r="I120" s="124"/>
    </row>
    <row r="121" spans="1:9">
      <c r="A121" s="122"/>
      <c r="D121" s="123"/>
      <c r="E121" s="123"/>
      <c r="H121" s="123"/>
      <c r="I121" s="124"/>
    </row>
    <row r="122" spans="1:9" ht="12.75">
      <c r="A122" s="122"/>
      <c r="D122" s="125" t="s">
        <v>257</v>
      </c>
      <c r="E122" s="125">
        <f>SUM(E119:E121)</f>
        <v>0</v>
      </c>
      <c r="F122" s="112"/>
      <c r="G122" s="112"/>
      <c r="H122" s="125" t="s">
        <v>258</v>
      </c>
      <c r="I122" s="126">
        <f>SUM(I119:I121)</f>
        <v>0</v>
      </c>
    </row>
    <row r="123" spans="1:9" ht="15.75" thickBot="1">
      <c r="A123" s="127"/>
      <c r="B123" s="128"/>
      <c r="C123" s="128"/>
      <c r="D123" s="129"/>
      <c r="E123" s="129"/>
      <c r="F123" s="128"/>
      <c r="G123" s="128"/>
      <c r="H123" s="130" t="s">
        <v>263</v>
      </c>
      <c r="I123" s="131">
        <f>I122-E122</f>
        <v>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827FC-9AE7-4CA2-8FBD-F3CE77C63E85}">
  <sheetPr codeName="Sheet6" filterMode="1">
    <tabColor rgb="FF009900"/>
  </sheetPr>
  <dimension ref="A2:T435"/>
  <sheetViews>
    <sheetView workbookViewId="0">
      <selection activeCell="B133" sqref="B133"/>
    </sheetView>
  </sheetViews>
  <sheetFormatPr defaultRowHeight="15"/>
  <cols>
    <col min="1" max="1" width="18.28515625" bestFit="1" customWidth="1"/>
    <col min="2" max="2" width="14.85546875" style="100" customWidth="1"/>
    <col min="3" max="3" width="12.7109375" bestFit="1" customWidth="1"/>
    <col min="4" max="4" width="12.42578125" style="100" customWidth="1"/>
    <col min="5" max="6" width="11" customWidth="1"/>
    <col min="7" max="7" width="11.42578125" bestFit="1" customWidth="1"/>
    <col min="9" max="10" width="12.28515625" customWidth="1"/>
    <col min="11" max="11" width="10.7109375" customWidth="1"/>
    <col min="19" max="19" width="16.85546875" customWidth="1"/>
    <col min="20" max="20" width="10" customWidth="1"/>
    <col min="21" max="21" width="10.42578125" customWidth="1"/>
    <col min="22" max="22" width="13.42578125" customWidth="1"/>
    <col min="23" max="23" width="10.5703125" customWidth="1"/>
  </cols>
  <sheetData>
    <row r="2" spans="1:20" ht="23.25">
      <c r="A2" s="99" t="s">
        <v>850</v>
      </c>
    </row>
    <row r="3" spans="1:20" ht="23.25">
      <c r="A3" s="99" t="s">
        <v>214</v>
      </c>
    </row>
    <row r="4" spans="1:20" ht="23.25">
      <c r="A4" s="99" t="s">
        <v>215</v>
      </c>
    </row>
    <row r="5" spans="1:20">
      <c r="A5" s="101"/>
    </row>
    <row r="6" spans="1:20">
      <c r="A6" s="100"/>
      <c r="C6" s="100"/>
    </row>
    <row r="7" spans="1:20">
      <c r="A7" s="102" t="s">
        <v>216</v>
      </c>
      <c r="B7" s="100" t="s">
        <v>217</v>
      </c>
      <c r="C7" s="103" t="s">
        <v>214</v>
      </c>
      <c r="D7" s="100" t="s">
        <v>131</v>
      </c>
      <c r="E7" s="100" t="s">
        <v>3</v>
      </c>
      <c r="F7" s="100" t="s">
        <v>1362</v>
      </c>
      <c r="G7" s="100"/>
      <c r="I7" s="104"/>
      <c r="J7" s="100"/>
      <c r="K7" s="104"/>
      <c r="O7" s="105"/>
      <c r="P7" s="100"/>
      <c r="S7" s="106"/>
      <c r="T7" s="100"/>
    </row>
    <row r="8" spans="1:20" hidden="1">
      <c r="A8" t="str">
        <f>+Lifestyle!A14</f>
        <v>Adelaide 18</v>
      </c>
      <c r="B8" s="100">
        <f>+Shepparton!B4</f>
        <v>282210</v>
      </c>
      <c r="C8" s="100" t="s">
        <v>5</v>
      </c>
      <c r="D8" s="100">
        <f>+Shepparton!D4</f>
        <v>5010</v>
      </c>
      <c r="E8" s="100">
        <f>+Shepparton!E4</f>
        <v>2785</v>
      </c>
      <c r="F8">
        <v>5000</v>
      </c>
    </row>
    <row r="9" spans="1:20" hidden="1">
      <c r="A9" t="str">
        <f>+Lifestyle!A15</f>
        <v>Adelaide 21</v>
      </c>
      <c r="B9" s="100">
        <f>+Shepparton!B5</f>
        <v>296640</v>
      </c>
      <c r="C9" s="100" t="s">
        <v>5</v>
      </c>
      <c r="D9" s="100">
        <f>+Shepparton!D5</f>
        <v>5140</v>
      </c>
      <c r="E9" s="100">
        <f>+Shepparton!E5</f>
        <v>4100</v>
      </c>
      <c r="F9">
        <v>5000</v>
      </c>
    </row>
    <row r="10" spans="1:20" hidden="1">
      <c r="A10" t="str">
        <f>+Lifestyle!A16</f>
        <v>Adelaide 22A</v>
      </c>
      <c r="B10" s="100">
        <f>+Shepparton!B6</f>
        <v>310720</v>
      </c>
      <c r="C10" s="100" t="s">
        <v>5</v>
      </c>
      <c r="D10" s="100">
        <f>+Shepparton!D6</f>
        <v>5935</v>
      </c>
      <c r="E10" s="100">
        <f>+Shepparton!E6</f>
        <v>4085</v>
      </c>
      <c r="F10">
        <v>5000</v>
      </c>
    </row>
    <row r="11" spans="1:20" hidden="1">
      <c r="A11" t="str">
        <f>+Lifestyle!A17</f>
        <v>Adelaide 22B</v>
      </c>
      <c r="B11" s="100">
        <f>+Shepparton!B7</f>
        <v>312390</v>
      </c>
      <c r="C11" s="100" t="s">
        <v>5</v>
      </c>
      <c r="D11" s="100">
        <f>+Shepparton!D7</f>
        <v>5885</v>
      </c>
      <c r="E11" s="100">
        <f>+Shepparton!E7</f>
        <v>3985</v>
      </c>
      <c r="F11">
        <v>5000</v>
      </c>
    </row>
    <row r="12" spans="1:20" hidden="1">
      <c r="A12" t="str">
        <f>+Lifestyle!A18</f>
        <v>Adelaide 24</v>
      </c>
      <c r="B12" s="100">
        <f>+Shepparton!B8</f>
        <v>319970</v>
      </c>
      <c r="C12" s="100" t="s">
        <v>5</v>
      </c>
      <c r="D12" s="100">
        <f>+Shepparton!D8</f>
        <v>6420</v>
      </c>
      <c r="E12" s="100">
        <f>+Shepparton!E8</f>
        <v>4990</v>
      </c>
      <c r="F12">
        <v>5000</v>
      </c>
    </row>
    <row r="13" spans="1:20" hidden="1">
      <c r="A13" t="str">
        <f>+Lifestyle!A19</f>
        <v>Ashfield 24</v>
      </c>
      <c r="B13" s="100">
        <f>+Shepparton!B9</f>
        <v>322220</v>
      </c>
      <c r="C13" s="100" t="s">
        <v>5</v>
      </c>
      <c r="D13" s="100">
        <f>+Shepparton!D9</f>
        <v>8670</v>
      </c>
      <c r="E13" s="100">
        <f>+Shepparton!E9</f>
        <v>3475</v>
      </c>
      <c r="F13">
        <v>5000</v>
      </c>
    </row>
    <row r="14" spans="1:20" hidden="1">
      <c r="A14" t="str">
        <f>+Lifestyle!A20</f>
        <v>Ashfield 30</v>
      </c>
      <c r="B14" s="100">
        <f>+Shepparton!B10</f>
        <v>359580</v>
      </c>
      <c r="C14" s="100" t="s">
        <v>5</v>
      </c>
      <c r="D14" s="100">
        <f>+Shepparton!D10</f>
        <v>7940</v>
      </c>
      <c r="E14" s="100">
        <f>+Shepparton!E10</f>
        <v>5610</v>
      </c>
      <c r="F14">
        <v>5000</v>
      </c>
    </row>
    <row r="15" spans="1:20" hidden="1">
      <c r="A15" t="str">
        <f>+Lifestyle!A21</f>
        <v>Ashfield 34</v>
      </c>
      <c r="B15" s="100">
        <f>+Shepparton!B11</f>
        <v>386150</v>
      </c>
      <c r="C15" s="100" t="s">
        <v>5</v>
      </c>
      <c r="D15" s="100">
        <f>+Shepparton!D11</f>
        <v>8440</v>
      </c>
      <c r="E15" s="100">
        <f>+Shepparton!E11</f>
        <v>6700</v>
      </c>
      <c r="F15">
        <v>5000</v>
      </c>
    </row>
    <row r="16" spans="1:20" hidden="1">
      <c r="A16" t="str">
        <f>+Lifestyle!A22</f>
        <v>Ashley 19</v>
      </c>
      <c r="B16" s="100">
        <f>+Shepparton!B12</f>
        <v>280620</v>
      </c>
      <c r="C16" s="100" t="s">
        <v>5</v>
      </c>
      <c r="D16" s="100">
        <f>+Shepparton!D12</f>
        <v>5805</v>
      </c>
      <c r="E16" s="100">
        <f>+Shepparton!E12</f>
        <v>2805</v>
      </c>
      <c r="F16">
        <v>5000</v>
      </c>
    </row>
    <row r="17" spans="1:6" hidden="1">
      <c r="A17" t="str">
        <f>+Lifestyle!A24</f>
        <v>Ashley 22</v>
      </c>
      <c r="B17" s="100">
        <f>+Shepparton!B14</f>
        <v>297580</v>
      </c>
      <c r="C17" s="100" t="s">
        <v>5</v>
      </c>
      <c r="D17" s="100">
        <f>+Shepparton!D14</f>
        <v>6855</v>
      </c>
      <c r="E17" s="100">
        <f>+Shepparton!E14</f>
        <v>3875</v>
      </c>
      <c r="F17">
        <v>5000</v>
      </c>
    </row>
    <row r="18" spans="1:6" hidden="1">
      <c r="A18" t="str">
        <f>+Lifestyle!A25</f>
        <v>Ashley 22A</v>
      </c>
      <c r="B18" s="100">
        <f>+Shepparton!B15</f>
        <v>303720</v>
      </c>
      <c r="C18" s="100" t="s">
        <v>5</v>
      </c>
      <c r="D18" s="100">
        <f>+Shepparton!D15</f>
        <v>7470</v>
      </c>
      <c r="E18" s="100">
        <f>+Shepparton!E15</f>
        <v>3615</v>
      </c>
      <c r="F18">
        <v>5001</v>
      </c>
    </row>
    <row r="19" spans="1:6" hidden="1">
      <c r="A19" t="str">
        <f>+Lifestyle!A26</f>
        <v>Ashley 24</v>
      </c>
      <c r="B19" s="100">
        <f>+Shepparton!B16</f>
        <v>315050</v>
      </c>
      <c r="C19" s="100" t="s">
        <v>5</v>
      </c>
      <c r="D19" s="100">
        <f>+Shepparton!D16</f>
        <v>6505</v>
      </c>
      <c r="E19" s="100">
        <f>+Shepparton!E16</f>
        <v>4665</v>
      </c>
      <c r="F19">
        <v>5002</v>
      </c>
    </row>
    <row r="20" spans="1:6" hidden="1">
      <c r="A20" t="str">
        <f>+Lifestyle!A27</f>
        <v>Ashley 25</v>
      </c>
      <c r="B20" s="100">
        <f>+Shepparton!B17</f>
        <v>324090</v>
      </c>
      <c r="C20" s="100" t="s">
        <v>5</v>
      </c>
      <c r="D20" s="100">
        <f>+Shepparton!D17</f>
        <v>6950</v>
      </c>
      <c r="E20" s="100">
        <f>+Shepparton!E17</f>
        <v>4610</v>
      </c>
      <c r="F20">
        <v>5000</v>
      </c>
    </row>
    <row r="21" spans="1:6" hidden="1">
      <c r="A21" t="str">
        <f>+Lifestyle!A28</f>
        <v>Ashley 25A</v>
      </c>
      <c r="B21" s="100">
        <f>+Shepparton!B18</f>
        <v>334230</v>
      </c>
      <c r="C21" s="100" t="s">
        <v>5</v>
      </c>
      <c r="D21" s="100">
        <f>+Shepparton!D18</f>
        <v>7040</v>
      </c>
      <c r="E21" s="100">
        <f>+Shepparton!E18</f>
        <v>4655</v>
      </c>
      <c r="F21">
        <v>5000</v>
      </c>
    </row>
    <row r="22" spans="1:6" hidden="1">
      <c r="A22" t="str">
        <f>+Lifestyle!A29</f>
        <v>Ashley 26</v>
      </c>
      <c r="B22" s="100">
        <f>+Shepparton!B19</f>
        <v>330980</v>
      </c>
      <c r="C22" s="100" t="s">
        <v>5</v>
      </c>
      <c r="D22" s="100">
        <f>+Shepparton!D19</f>
        <v>7050</v>
      </c>
      <c r="E22" s="100">
        <f>+Shepparton!E19</f>
        <v>4900</v>
      </c>
      <c r="F22">
        <v>5000</v>
      </c>
    </row>
    <row r="23" spans="1:6" hidden="1">
      <c r="A23" t="str">
        <f>+Lifestyle!A30</f>
        <v>Ashley 27</v>
      </c>
      <c r="B23" s="100">
        <f>+Shepparton!B20</f>
        <v>342910</v>
      </c>
      <c r="C23" s="100" t="s">
        <v>5</v>
      </c>
      <c r="D23" s="100">
        <f>+Shepparton!D20</f>
        <v>7995</v>
      </c>
      <c r="E23" s="100">
        <f>+Shepparton!E20</f>
        <v>6080</v>
      </c>
      <c r="F23">
        <v>5000</v>
      </c>
    </row>
    <row r="24" spans="1:6" hidden="1">
      <c r="A24" t="str">
        <f>+Lifestyle!A31</f>
        <v>Ashley 28</v>
      </c>
      <c r="B24" s="100">
        <f>+Shepparton!B21</f>
        <v>347740</v>
      </c>
      <c r="C24" s="100" t="s">
        <v>5</v>
      </c>
      <c r="D24" s="100">
        <f>+Shepparton!D21</f>
        <v>8895</v>
      </c>
      <c r="E24" s="100">
        <f>+Shepparton!E21</f>
        <v>4395</v>
      </c>
      <c r="F24">
        <v>5000</v>
      </c>
    </row>
    <row r="25" spans="1:6" hidden="1">
      <c r="A25" t="str">
        <f>+Lifestyle!A32</f>
        <v>Ashley 28A</v>
      </c>
      <c r="B25" s="100">
        <f>+Shepparton!B22</f>
        <v>355250</v>
      </c>
      <c r="C25" s="100" t="s">
        <v>5</v>
      </c>
      <c r="D25" s="100">
        <f>+Shepparton!D22</f>
        <v>9335</v>
      </c>
      <c r="E25" s="100">
        <f>+Shepparton!E22</f>
        <v>5835</v>
      </c>
      <c r="F25">
        <v>5000</v>
      </c>
    </row>
    <row r="26" spans="1:6" hidden="1">
      <c r="A26" t="str">
        <f>+Lifestyle!A33</f>
        <v>Ballina 24</v>
      </c>
      <c r="B26" s="100">
        <f>+Shepparton!B23</f>
        <v>315600</v>
      </c>
      <c r="C26" s="100" t="s">
        <v>5</v>
      </c>
      <c r="D26" s="100">
        <f>+Shepparton!D23</f>
        <v>7970</v>
      </c>
      <c r="E26" s="100">
        <f>+Shepparton!E23</f>
        <v>3015</v>
      </c>
      <c r="F26">
        <v>5000</v>
      </c>
    </row>
    <row r="27" spans="1:6" hidden="1">
      <c r="A27" t="str">
        <f>+Lifestyle!A34</f>
        <v>Ballina 30</v>
      </c>
      <c r="B27" s="100">
        <f>+Shepparton!B24</f>
        <v>364750</v>
      </c>
      <c r="C27" s="100" t="s">
        <v>5</v>
      </c>
      <c r="D27" s="100">
        <f>+Shepparton!D24</f>
        <v>9640</v>
      </c>
      <c r="E27" s="100">
        <f>+Shepparton!E24</f>
        <v>5305</v>
      </c>
      <c r="F27">
        <v>5000</v>
      </c>
    </row>
    <row r="28" spans="1:6" hidden="1">
      <c r="A28" t="str">
        <f>+Lifestyle!A35</f>
        <v>Ballina 30A</v>
      </c>
      <c r="B28" s="100">
        <f>+Shepparton!B25</f>
        <v>367040</v>
      </c>
      <c r="C28" s="100" t="s">
        <v>5</v>
      </c>
      <c r="D28" s="100">
        <f>+Shepparton!D25</f>
        <v>10765</v>
      </c>
      <c r="E28" s="100">
        <f>+Shepparton!E25</f>
        <v>5680</v>
      </c>
      <c r="F28">
        <v>5000</v>
      </c>
    </row>
    <row r="29" spans="1:6" hidden="1">
      <c r="A29" t="str">
        <f>+Lifestyle!A36</f>
        <v>Ballina 33</v>
      </c>
      <c r="B29" s="100">
        <f>+Shepparton!B26</f>
        <v>399090</v>
      </c>
      <c r="C29" s="100" t="s">
        <v>5</v>
      </c>
      <c r="D29" s="100">
        <f>+Shepparton!D26</f>
        <v>11835</v>
      </c>
      <c r="E29" s="100">
        <f>+Shepparton!E26</f>
        <v>5245</v>
      </c>
      <c r="F29">
        <v>5000</v>
      </c>
    </row>
    <row r="30" spans="1:6" hidden="1">
      <c r="A30" t="str">
        <f>+Lifestyle!A37</f>
        <v>Ballina 39</v>
      </c>
      <c r="B30" s="100">
        <f>+Shepparton!B27</f>
        <v>444180</v>
      </c>
      <c r="C30" s="100" t="s">
        <v>5</v>
      </c>
      <c r="D30" s="100">
        <f>+Shepparton!D27</f>
        <v>13260</v>
      </c>
      <c r="E30" s="100">
        <f>+Shepparton!E27</f>
        <v>7725</v>
      </c>
      <c r="F30">
        <v>5000</v>
      </c>
    </row>
    <row r="31" spans="1:6" hidden="1">
      <c r="A31" t="str">
        <f>+Lifestyle!A38</f>
        <v>Bathurst 25</v>
      </c>
      <c r="B31" s="100">
        <f>+Shepparton!B28</f>
        <v>347410</v>
      </c>
      <c r="C31" s="100" t="s">
        <v>5</v>
      </c>
      <c r="D31" s="100">
        <f>+Shepparton!D28</f>
        <v>7285</v>
      </c>
      <c r="E31" s="100">
        <f>+Shepparton!E28</f>
        <v>3960</v>
      </c>
      <c r="F31">
        <v>5000</v>
      </c>
    </row>
    <row r="32" spans="1:6" hidden="1">
      <c r="A32" t="str">
        <f>+Lifestyle!A39</f>
        <v>Bathurst 30</v>
      </c>
      <c r="B32" s="100">
        <f>+Shepparton!B29</f>
        <v>394390</v>
      </c>
      <c r="C32" s="100" t="s">
        <v>5</v>
      </c>
      <c r="D32" s="100">
        <f>+Shepparton!D29</f>
        <v>8780</v>
      </c>
      <c r="E32" s="100">
        <f>+Shepparton!E29</f>
        <v>5635</v>
      </c>
      <c r="F32">
        <v>5000</v>
      </c>
    </row>
    <row r="33" spans="1:6" hidden="1">
      <c r="A33" t="str">
        <f>+Lifestyle!A40</f>
        <v>Bathurst 34</v>
      </c>
      <c r="B33" s="100">
        <f>+Shepparton!B30</f>
        <v>415480</v>
      </c>
      <c r="C33" s="100" t="s">
        <v>5</v>
      </c>
      <c r="D33" s="100">
        <f>+Shepparton!D30</f>
        <v>9675</v>
      </c>
      <c r="E33" s="100">
        <f>+Shepparton!E30</f>
        <v>6350</v>
      </c>
      <c r="F33">
        <v>5000</v>
      </c>
    </row>
    <row r="34" spans="1:6" hidden="1">
      <c r="A34" t="str">
        <f>+Lifestyle!A41</f>
        <v>Bayview 23</v>
      </c>
      <c r="B34" s="100">
        <f>+Shepparton!B31</f>
        <v>316920</v>
      </c>
      <c r="C34" s="100" t="s">
        <v>5</v>
      </c>
      <c r="D34" s="100">
        <f>+Shepparton!D31</f>
        <v>8145</v>
      </c>
      <c r="E34" s="100">
        <f>+Shepparton!E31</f>
        <v>3005</v>
      </c>
      <c r="F34">
        <v>5000</v>
      </c>
    </row>
    <row r="35" spans="1:6" hidden="1">
      <c r="A35" t="str">
        <f>+Lifestyle!A42</f>
        <v>Bayview 26</v>
      </c>
      <c r="B35" s="100">
        <f>+Shepparton!B32</f>
        <v>339870</v>
      </c>
      <c r="C35" s="100" t="s">
        <v>5</v>
      </c>
      <c r="D35" s="100">
        <f>+Shepparton!D32</f>
        <v>7115</v>
      </c>
      <c r="E35" s="100">
        <f>+Shepparton!E32</f>
        <v>5060</v>
      </c>
      <c r="F35">
        <v>5000</v>
      </c>
    </row>
    <row r="36" spans="1:6" hidden="1">
      <c r="A36" t="str">
        <f>+Lifestyle!A43</f>
        <v>Bayview 30</v>
      </c>
      <c r="B36" s="100">
        <f>+Shepparton!B33</f>
        <v>375790</v>
      </c>
      <c r="C36" s="100" t="s">
        <v>5</v>
      </c>
      <c r="D36" s="100">
        <f>+Shepparton!D33</f>
        <v>8295</v>
      </c>
      <c r="E36" s="100">
        <f>+Shepparton!E33</f>
        <v>6975</v>
      </c>
      <c r="F36">
        <v>5000</v>
      </c>
    </row>
    <row r="37" spans="1:6" hidden="1">
      <c r="A37" t="str">
        <f>+Lifestyle!A44</f>
        <v>Bondi 25</v>
      </c>
      <c r="B37" s="100">
        <f>+Shepparton!B34</f>
        <v>330730</v>
      </c>
      <c r="C37" s="100" t="s">
        <v>5</v>
      </c>
      <c r="D37" s="100">
        <f>+Shepparton!D34</f>
        <v>9315</v>
      </c>
      <c r="E37" s="100">
        <f>+Shepparton!E34</f>
        <v>3765</v>
      </c>
      <c r="F37">
        <v>5000</v>
      </c>
    </row>
    <row r="38" spans="1:6" hidden="1">
      <c r="A38" t="str">
        <f>+Lifestyle!A45</f>
        <v>Bondi 31</v>
      </c>
      <c r="B38" s="100">
        <f>+Shepparton!B35</f>
        <v>369170</v>
      </c>
      <c r="C38" s="100" t="s">
        <v>5</v>
      </c>
      <c r="D38" s="100">
        <f>+Shepparton!D35</f>
        <v>10850</v>
      </c>
      <c r="E38" s="100">
        <f>+Shepparton!E35</f>
        <v>5070</v>
      </c>
      <c r="F38">
        <v>5000</v>
      </c>
    </row>
    <row r="39" spans="1:6" hidden="1">
      <c r="A39" t="str">
        <f>+Lifestyle!A46</f>
        <v>Bondi 36</v>
      </c>
      <c r="B39" s="100">
        <f>+Shepparton!B36</f>
        <v>399980</v>
      </c>
      <c r="C39" s="100" t="s">
        <v>5</v>
      </c>
      <c r="D39" s="100">
        <f>+Shepparton!D36</f>
        <v>12315</v>
      </c>
      <c r="E39" s="100">
        <f>+Shepparton!E36</f>
        <v>6445</v>
      </c>
      <c r="F39">
        <v>5000</v>
      </c>
    </row>
    <row r="40" spans="1:6" hidden="1">
      <c r="A40" t="str">
        <f>+Lifestyle!A47</f>
        <v>Cambridge 22</v>
      </c>
      <c r="B40" s="100">
        <f>+Shepparton!B37</f>
        <v>309750</v>
      </c>
      <c r="C40" s="100" t="s">
        <v>5</v>
      </c>
      <c r="D40" s="100">
        <f>+Shepparton!D37</f>
        <v>7965</v>
      </c>
      <c r="E40" s="100">
        <f>+Shepparton!E37</f>
        <v>3465</v>
      </c>
      <c r="F40">
        <v>5000</v>
      </c>
    </row>
    <row r="41" spans="1:6" hidden="1">
      <c r="A41" t="str">
        <f>+Lifestyle!A48</f>
        <v>Cambridge 24</v>
      </c>
      <c r="B41" s="100">
        <f>+Shepparton!B38</f>
        <v>329670</v>
      </c>
      <c r="C41" s="100" t="s">
        <v>5</v>
      </c>
      <c r="D41" s="100">
        <f>+Shepparton!D38</f>
        <v>7465</v>
      </c>
      <c r="E41" s="100">
        <f>+Shepparton!E38</f>
        <v>4845</v>
      </c>
      <c r="F41">
        <v>5000</v>
      </c>
    </row>
    <row r="42" spans="1:6" hidden="1">
      <c r="A42" t="str">
        <f>+Lifestyle!A49</f>
        <v>Cambridge 26</v>
      </c>
      <c r="B42" s="100">
        <f>+Shepparton!B39</f>
        <v>346130</v>
      </c>
      <c r="C42" s="100" t="s">
        <v>5</v>
      </c>
      <c r="D42" s="100">
        <f>+Shepparton!D39</f>
        <v>8805</v>
      </c>
      <c r="E42" s="100">
        <f>+Shepparton!E39</f>
        <v>5280</v>
      </c>
      <c r="F42">
        <v>5000</v>
      </c>
    </row>
    <row r="43" spans="1:6" hidden="1">
      <c r="A43" t="str">
        <f>+Lifestyle!A50</f>
        <v>Cambridge 30</v>
      </c>
      <c r="B43" s="100">
        <f>+Shepparton!B40</f>
        <v>376060</v>
      </c>
      <c r="C43" s="100" t="s">
        <v>5</v>
      </c>
      <c r="D43" s="100">
        <f>+Shepparton!D40</f>
        <v>8275</v>
      </c>
      <c r="E43" s="100">
        <f>+Shepparton!E40</f>
        <v>7495</v>
      </c>
      <c r="F43">
        <v>5000</v>
      </c>
    </row>
    <row r="44" spans="1:6" hidden="1">
      <c r="A44" t="s">
        <v>136</v>
      </c>
      <c r="C44" s="100" t="s">
        <v>5</v>
      </c>
      <c r="E44" s="100"/>
      <c r="F44">
        <v>5000</v>
      </c>
    </row>
    <row r="45" spans="1:6" hidden="1">
      <c r="A45" t="str">
        <f>+Lifestyle!A51</f>
        <v>Duneed 22</v>
      </c>
      <c r="B45" s="100">
        <f>+Shepparton!B51</f>
        <v>315050</v>
      </c>
      <c r="C45" s="100" t="s">
        <v>5</v>
      </c>
      <c r="D45" s="100">
        <f>+Shepparton!D51</f>
        <v>6705</v>
      </c>
      <c r="E45" s="100">
        <f>+Shepparton!E51</f>
        <v>3215</v>
      </c>
      <c r="F45">
        <v>5000</v>
      </c>
    </row>
    <row r="46" spans="1:6" hidden="1">
      <c r="A46" t="str">
        <f>+Lifestyle!A52</f>
        <v>Duneed 23</v>
      </c>
      <c r="B46" s="100">
        <f>+Shepparton!B52</f>
        <v>318110</v>
      </c>
      <c r="C46" s="100" t="s">
        <v>5</v>
      </c>
      <c r="D46" s="100">
        <f>+Shepparton!D52</f>
        <v>6610</v>
      </c>
      <c r="E46" s="100">
        <f>+Shepparton!E52</f>
        <v>3570</v>
      </c>
      <c r="F46">
        <v>5000</v>
      </c>
    </row>
    <row r="47" spans="1:6" hidden="1">
      <c r="A47" t="str">
        <f>+Lifestyle!A53</f>
        <v>Duneed 24</v>
      </c>
      <c r="B47" s="100">
        <f>+Shepparton!B53</f>
        <v>329230</v>
      </c>
      <c r="C47" s="100" t="s">
        <v>5</v>
      </c>
      <c r="D47" s="100">
        <f>+Shepparton!D53</f>
        <v>6905</v>
      </c>
      <c r="E47" s="100">
        <f>+Shepparton!E53</f>
        <v>4650</v>
      </c>
      <c r="F47">
        <v>5000</v>
      </c>
    </row>
    <row r="48" spans="1:6" hidden="1">
      <c r="A48" t="str">
        <f>+Lifestyle!A54</f>
        <v>Duneed 25</v>
      </c>
      <c r="B48" s="100">
        <f>+Shepparton!B54</f>
        <v>333250</v>
      </c>
      <c r="C48" s="100" t="s">
        <v>5</v>
      </c>
      <c r="D48" s="100">
        <f>+Shepparton!D54</f>
        <v>6835</v>
      </c>
      <c r="E48" s="100">
        <f>+Shepparton!E54</f>
        <v>5030</v>
      </c>
      <c r="F48">
        <v>5000</v>
      </c>
    </row>
    <row r="49" spans="1:6" hidden="1">
      <c r="A49" t="str">
        <f>+Lifestyle!A55</f>
        <v>Duneed 30</v>
      </c>
      <c r="B49" s="100">
        <f>+Shepparton!B55</f>
        <v>376750</v>
      </c>
      <c r="C49" s="100" t="s">
        <v>5</v>
      </c>
      <c r="D49" s="100">
        <f>+Shepparton!D55</f>
        <v>9030</v>
      </c>
      <c r="E49" s="100">
        <f>+Shepparton!E55</f>
        <v>5385</v>
      </c>
      <c r="F49">
        <v>5000</v>
      </c>
    </row>
    <row r="50" spans="1:6" hidden="1">
      <c r="A50" t="str">
        <f>+Lifestyle!A56</f>
        <v>Eclipse 23</v>
      </c>
      <c r="B50" s="100">
        <f>+Shepparton!B56</f>
        <v>327420</v>
      </c>
      <c r="C50" s="100" t="s">
        <v>5</v>
      </c>
      <c r="D50" s="100">
        <f>+Shepparton!D56</f>
        <v>6225</v>
      </c>
      <c r="E50" s="100">
        <f>+Shepparton!E56</f>
        <v>4555</v>
      </c>
      <c r="F50">
        <v>5000</v>
      </c>
    </row>
    <row r="51" spans="1:6" hidden="1">
      <c r="A51" t="str">
        <f>+Lifestyle!A57</f>
        <v>Eclipse 26</v>
      </c>
      <c r="B51" s="100">
        <f>+Shepparton!B57</f>
        <v>355880</v>
      </c>
      <c r="C51" s="100" t="s">
        <v>5</v>
      </c>
      <c r="D51" s="100">
        <f>+Shepparton!D57</f>
        <v>6815</v>
      </c>
      <c r="E51" s="100">
        <f>+Shepparton!E57</f>
        <v>5595</v>
      </c>
      <c r="F51">
        <v>5000</v>
      </c>
    </row>
    <row r="52" spans="1:6" hidden="1">
      <c r="A52" t="str">
        <f>+Lifestyle!A58</f>
        <v>Eclipse 28</v>
      </c>
      <c r="B52" s="100">
        <f>+Shepparton!B58</f>
        <v>371630</v>
      </c>
      <c r="C52" s="100" t="s">
        <v>5</v>
      </c>
      <c r="D52" s="100">
        <f>+Shepparton!D58</f>
        <v>7105</v>
      </c>
      <c r="E52" s="100">
        <f>+Shepparton!E58</f>
        <v>6350</v>
      </c>
      <c r="F52">
        <v>5000</v>
      </c>
    </row>
    <row r="53" spans="1:6" hidden="1">
      <c r="A53" t="str">
        <f>+Lifestyle!A59</f>
        <v>Hamilton 24</v>
      </c>
      <c r="B53" s="100">
        <f>+Shepparton!B59</f>
        <v>324640</v>
      </c>
      <c r="C53" s="100" t="s">
        <v>5</v>
      </c>
      <c r="D53" s="100">
        <f>+Shepparton!D59</f>
        <v>8450</v>
      </c>
      <c r="E53" s="100">
        <f>+Shepparton!E59</f>
        <v>3460</v>
      </c>
      <c r="F53">
        <v>5000</v>
      </c>
    </row>
    <row r="54" spans="1:6" hidden="1">
      <c r="A54" t="str">
        <f>+Lifestyle!A60</f>
        <v>Hamilton 29</v>
      </c>
      <c r="B54" s="100">
        <f>+Shepparton!B60</f>
        <v>365750</v>
      </c>
      <c r="C54" s="100" t="s">
        <v>5</v>
      </c>
      <c r="D54" s="100">
        <f>+Shepparton!D60</f>
        <v>9065</v>
      </c>
      <c r="E54" s="100">
        <f>+Shepparton!E60</f>
        <v>5080</v>
      </c>
      <c r="F54">
        <v>5000</v>
      </c>
    </row>
    <row r="55" spans="1:6" hidden="1">
      <c r="A55" t="str">
        <f>+Lifestyle!A61</f>
        <v>Hamilton 34</v>
      </c>
      <c r="B55" s="100">
        <f>+Shepparton!B61</f>
        <v>397490</v>
      </c>
      <c r="C55" s="100" t="s">
        <v>5</v>
      </c>
      <c r="D55" s="100">
        <f>+Shepparton!D61</f>
        <v>9455</v>
      </c>
      <c r="E55" s="100">
        <f>+Shepparton!E61</f>
        <v>6610</v>
      </c>
      <c r="F55">
        <v>5000</v>
      </c>
    </row>
    <row r="56" spans="1:6" hidden="1">
      <c r="A56" t="str">
        <f>+Lifestyle!A62</f>
        <v>Launceston 21</v>
      </c>
      <c r="B56" s="100">
        <f>+Shepparton!B62</f>
        <v>304080</v>
      </c>
      <c r="C56" s="100" t="s">
        <v>5</v>
      </c>
      <c r="D56" s="100">
        <f>+Shepparton!D62</f>
        <v>6515</v>
      </c>
      <c r="E56" s="100">
        <f>+Shepparton!E62</f>
        <v>3700</v>
      </c>
      <c r="F56">
        <v>5000</v>
      </c>
    </row>
    <row r="57" spans="1:6" hidden="1">
      <c r="A57" t="str">
        <f>+Lifestyle!A63</f>
        <v>Launceston 22</v>
      </c>
      <c r="B57" s="100">
        <f>+Shepparton!B63</f>
        <v>314910</v>
      </c>
      <c r="C57" s="100" t="s">
        <v>5</v>
      </c>
      <c r="D57" s="100">
        <f>+Shepparton!D63</f>
        <v>6460</v>
      </c>
      <c r="E57" s="100">
        <f>+Shepparton!E63</f>
        <v>3770</v>
      </c>
      <c r="F57">
        <v>5000</v>
      </c>
    </row>
    <row r="58" spans="1:6" hidden="1">
      <c r="A58" t="str">
        <f>+Lifestyle!A64</f>
        <v>Launceston 24</v>
      </c>
      <c r="B58" s="100">
        <f>+Shepparton!B64</f>
        <v>331780</v>
      </c>
      <c r="C58" s="100" t="s">
        <v>5</v>
      </c>
      <c r="D58" s="100">
        <f>+Shepparton!D64</f>
        <v>7805</v>
      </c>
      <c r="E58" s="100">
        <f>+Shepparton!E64</f>
        <v>4160</v>
      </c>
      <c r="F58">
        <v>5000</v>
      </c>
    </row>
    <row r="59" spans="1:6" hidden="1">
      <c r="A59" t="str">
        <f>+Lifestyle!A65</f>
        <v>Manly 20</v>
      </c>
      <c r="B59" s="100">
        <f>+Shepparton!B65</f>
        <v>293240</v>
      </c>
      <c r="C59" s="100" t="s">
        <v>5</v>
      </c>
      <c r="D59" s="100">
        <f>+Shepparton!D65</f>
        <v>7230</v>
      </c>
      <c r="E59" s="100">
        <f>+Shepparton!E65</f>
        <v>2495</v>
      </c>
      <c r="F59">
        <v>5000</v>
      </c>
    </row>
    <row r="60" spans="1:6" hidden="1">
      <c r="A60" t="str">
        <f>+Lifestyle!A66</f>
        <v>Manly 22</v>
      </c>
      <c r="B60" s="100">
        <f>+Shepparton!B66</f>
        <v>313250</v>
      </c>
      <c r="C60" s="100" t="s">
        <v>5</v>
      </c>
      <c r="D60" s="100">
        <f>+Shepparton!D66</f>
        <v>9190</v>
      </c>
      <c r="E60" s="100">
        <f>+Shepparton!E66</f>
        <v>2505</v>
      </c>
      <c r="F60">
        <v>5000</v>
      </c>
    </row>
    <row r="61" spans="1:6" hidden="1">
      <c r="A61" t="str">
        <f>+Lifestyle!A67</f>
        <v>Manly 24</v>
      </c>
      <c r="B61" s="100">
        <f>+Shepparton!B67</f>
        <v>326290</v>
      </c>
      <c r="C61" s="100" t="s">
        <v>5</v>
      </c>
      <c r="D61" s="100">
        <f>+Shepparton!D67</f>
        <v>8965</v>
      </c>
      <c r="E61" s="100">
        <f>+Shepparton!E67</f>
        <v>3200</v>
      </c>
      <c r="F61">
        <v>5000</v>
      </c>
    </row>
    <row r="62" spans="1:6" hidden="1">
      <c r="A62" t="str">
        <f>+Lifestyle!A68</f>
        <v>Manly 25</v>
      </c>
      <c r="B62" s="100">
        <f>+Shepparton!B68</f>
        <v>336270</v>
      </c>
      <c r="C62" s="100" t="s">
        <v>5</v>
      </c>
      <c r="D62" s="100">
        <f>+Shepparton!D68</f>
        <v>8900</v>
      </c>
      <c r="E62" s="100">
        <f>+Shepparton!E68</f>
        <v>3995</v>
      </c>
      <c r="F62">
        <v>5000</v>
      </c>
    </row>
    <row r="63" spans="1:6" hidden="1">
      <c r="A63" t="str">
        <f>+Lifestyle!A69</f>
        <v>Manly 30</v>
      </c>
      <c r="B63" s="100">
        <f>+Shepparton!B69</f>
        <v>368340</v>
      </c>
      <c r="C63" s="100" t="s">
        <v>5</v>
      </c>
      <c r="D63" s="100">
        <f>+Shepparton!D69</f>
        <v>10705</v>
      </c>
      <c r="E63" s="100">
        <f>+Shepparton!E69</f>
        <v>4775</v>
      </c>
      <c r="F63">
        <v>5000</v>
      </c>
    </row>
    <row r="64" spans="1:6" hidden="1">
      <c r="A64" t="str">
        <f>+Lifestyle!A70</f>
        <v>Manly 36</v>
      </c>
      <c r="B64" s="100">
        <f>+Shepparton!B70</f>
        <v>413170</v>
      </c>
      <c r="C64" s="100" t="s">
        <v>5</v>
      </c>
      <c r="D64" s="100">
        <f>+Shepparton!D70</f>
        <v>14600</v>
      </c>
      <c r="E64" s="100">
        <f>+Shepparton!E70</f>
        <v>5595</v>
      </c>
      <c r="F64">
        <v>5000</v>
      </c>
    </row>
    <row r="65" spans="1:6" hidden="1">
      <c r="A65" t="str">
        <f>+Lifestyle!A71</f>
        <v>Parkdale 24</v>
      </c>
      <c r="B65" s="100">
        <f>+Shepparton!B71</f>
        <v>322230</v>
      </c>
      <c r="C65" s="100" t="s">
        <v>5</v>
      </c>
      <c r="D65" s="100">
        <f>+Shepparton!D71</f>
        <v>8190</v>
      </c>
      <c r="E65" s="100">
        <f>+Shepparton!E71</f>
        <v>3825</v>
      </c>
      <c r="F65">
        <v>5000</v>
      </c>
    </row>
    <row r="66" spans="1:6" hidden="1">
      <c r="A66" t="str">
        <f>+Lifestyle!A72</f>
        <v>Parkdale 30</v>
      </c>
      <c r="B66" s="100">
        <f>+Shepparton!B72</f>
        <v>370290</v>
      </c>
      <c r="C66" s="100" t="s">
        <v>5</v>
      </c>
      <c r="D66" s="100">
        <f>+Shepparton!D72</f>
        <v>9250</v>
      </c>
      <c r="E66" s="100">
        <f>+Shepparton!E72</f>
        <v>4660</v>
      </c>
      <c r="F66">
        <v>5000</v>
      </c>
    </row>
    <row r="67" spans="1:6" hidden="1">
      <c r="A67" t="str">
        <f>+Lifestyle!A73</f>
        <v>Parkdale 33</v>
      </c>
      <c r="B67" s="100">
        <f>+Shepparton!B73</f>
        <v>402320</v>
      </c>
      <c r="C67" s="100" t="s">
        <v>5</v>
      </c>
      <c r="D67" s="100">
        <f>+Shepparton!D73</f>
        <v>9090</v>
      </c>
      <c r="E67" s="100">
        <f>+Shepparton!E73</f>
        <v>6920</v>
      </c>
      <c r="F67">
        <v>5000</v>
      </c>
    </row>
    <row r="68" spans="1:6" hidden="1">
      <c r="A68" t="str">
        <f>+Lifestyle!A74</f>
        <v>Parkview 24 - 3 Bed</v>
      </c>
      <c r="B68" s="100">
        <f>+Shepparton!B74</f>
        <v>320890</v>
      </c>
      <c r="C68" s="100" t="s">
        <v>5</v>
      </c>
      <c r="D68" s="100">
        <f>+Shepparton!D74</f>
        <v>7430</v>
      </c>
      <c r="E68" s="100">
        <f>+Shepparton!E74</f>
        <v>4075</v>
      </c>
      <c r="F68">
        <v>5000</v>
      </c>
    </row>
    <row r="69" spans="1:6" hidden="1">
      <c r="A69" t="str">
        <f>+Lifestyle!A75</f>
        <v>Parkview 24 - 4 Bed</v>
      </c>
      <c r="B69" s="100">
        <f>+Shepparton!B75</f>
        <v>324850</v>
      </c>
      <c r="C69" s="100" t="s">
        <v>5</v>
      </c>
      <c r="D69" s="100">
        <f>+Shepparton!D75</f>
        <v>7340</v>
      </c>
      <c r="E69" s="100">
        <f>+Shepparton!E75</f>
        <v>4825</v>
      </c>
      <c r="F69">
        <v>5000</v>
      </c>
    </row>
    <row r="70" spans="1:6" hidden="1">
      <c r="A70" t="str">
        <f>+Lifestyle!A76</f>
        <v>Parkview 26</v>
      </c>
      <c r="B70" s="100">
        <f>+Shepparton!B76</f>
        <v>344270</v>
      </c>
      <c r="C70" s="100" t="s">
        <v>5</v>
      </c>
      <c r="D70" s="100">
        <f>+Shepparton!D76</f>
        <v>8445</v>
      </c>
      <c r="E70" s="100">
        <f>+Shepparton!E76</f>
        <v>4355</v>
      </c>
      <c r="F70">
        <v>5000</v>
      </c>
    </row>
    <row r="71" spans="1:6" hidden="1">
      <c r="A71" t="str">
        <f>+Lifestyle!A77</f>
        <v>Parkview 28</v>
      </c>
      <c r="B71" s="100">
        <f>+Shepparton!B77</f>
        <v>357060</v>
      </c>
      <c r="C71" s="100" t="s">
        <v>5</v>
      </c>
      <c r="D71" s="100">
        <f>+Shepparton!D77</f>
        <v>8920</v>
      </c>
      <c r="E71" s="100">
        <f>+Shepparton!E77</f>
        <v>5110</v>
      </c>
      <c r="F71">
        <v>5000</v>
      </c>
    </row>
    <row r="72" spans="1:6" hidden="1">
      <c r="A72" t="str">
        <f>+Lifestyle!A78</f>
        <v>Parkview 30</v>
      </c>
      <c r="B72" s="100">
        <f>+Shepparton!B78</f>
        <v>369660</v>
      </c>
      <c r="C72" s="100" t="s">
        <v>5</v>
      </c>
      <c r="D72" s="100">
        <f>+Shepparton!D78</f>
        <v>8200</v>
      </c>
      <c r="E72" s="100">
        <f>+Shepparton!E78</f>
        <v>5700</v>
      </c>
      <c r="F72">
        <v>5000</v>
      </c>
    </row>
    <row r="73" spans="1:6" hidden="1">
      <c r="A73" t="str">
        <f>+Lifestyle!A79</f>
        <v>Parkview 31</v>
      </c>
      <c r="B73" s="100">
        <f>+Shepparton!B79</f>
        <v>374230</v>
      </c>
      <c r="C73" s="100" t="s">
        <v>5</v>
      </c>
      <c r="D73" s="100">
        <f>+Shepparton!D79</f>
        <v>8380</v>
      </c>
      <c r="E73" s="100">
        <f>+Shepparton!E79</f>
        <v>5750</v>
      </c>
      <c r="F73">
        <v>5000</v>
      </c>
    </row>
    <row r="74" spans="1:6" hidden="1">
      <c r="A74" t="str">
        <f>+Lifestyle!A80</f>
        <v>Santa Barbara 20</v>
      </c>
      <c r="B74" s="100">
        <f>+Shepparton!B80</f>
        <v>288930</v>
      </c>
      <c r="C74" s="100" t="s">
        <v>5</v>
      </c>
      <c r="D74" s="100">
        <f>+Shepparton!D80</f>
        <v>6200</v>
      </c>
      <c r="E74" s="100">
        <f>+Shepparton!E80</f>
        <v>3795</v>
      </c>
      <c r="F74">
        <v>5000</v>
      </c>
    </row>
    <row r="75" spans="1:6" hidden="1">
      <c r="A75" t="str">
        <f>+Lifestyle!A81</f>
        <v>Santa Barbara 22</v>
      </c>
      <c r="B75" s="100">
        <f>+Shepparton!B81</f>
        <v>306870</v>
      </c>
      <c r="C75" s="100" t="s">
        <v>5</v>
      </c>
      <c r="D75" s="100">
        <f>+Shepparton!D81</f>
        <v>6800</v>
      </c>
      <c r="E75" s="100">
        <f>+Shepparton!E81</f>
        <v>4465</v>
      </c>
      <c r="F75">
        <v>5000</v>
      </c>
    </row>
    <row r="76" spans="1:6" hidden="1">
      <c r="A76" t="str">
        <f>+Lifestyle!A82</f>
        <v>Santa Barbara 25</v>
      </c>
      <c r="B76" s="100">
        <f>+Shepparton!B82</f>
        <v>323980</v>
      </c>
      <c r="C76" s="100" t="s">
        <v>5</v>
      </c>
      <c r="D76" s="100">
        <f>+Shepparton!D82</f>
        <v>7420</v>
      </c>
      <c r="E76" s="100">
        <f>+Shepparton!E82</f>
        <v>5000</v>
      </c>
      <c r="F76">
        <v>5000</v>
      </c>
    </row>
    <row r="77" spans="1:6" hidden="1">
      <c r="A77" t="str">
        <f>+Lifestyle!A83</f>
        <v>Santa Barbara 26</v>
      </c>
      <c r="B77" s="100">
        <f>+Shepparton!B83</f>
        <v>340030</v>
      </c>
      <c r="C77" s="100" t="s">
        <v>5</v>
      </c>
      <c r="D77" s="100">
        <f>+Shepparton!D83</f>
        <v>7610</v>
      </c>
      <c r="E77" s="100">
        <f>+Shepparton!E83</f>
        <v>4700</v>
      </c>
      <c r="F77">
        <v>5000</v>
      </c>
    </row>
    <row r="78" spans="1:6" hidden="1">
      <c r="A78" t="str">
        <f>+Lifestyle!A86</f>
        <v>Inglewood 24</v>
      </c>
      <c r="B78" s="100">
        <f>+Shepparton!B95</f>
        <v>324260</v>
      </c>
      <c r="C78" s="100" t="s">
        <v>5</v>
      </c>
      <c r="D78" s="100">
        <f>+Shepparton!D95</f>
        <v>6940</v>
      </c>
      <c r="E78" s="100">
        <f>+Shepparton!E95</f>
        <v>4270</v>
      </c>
      <c r="F78">
        <v>5000</v>
      </c>
    </row>
    <row r="79" spans="1:6" hidden="1">
      <c r="A79" t="str">
        <f>+Lifestyle!A87</f>
        <v>Inglewood 26</v>
      </c>
      <c r="B79" s="100">
        <f>+Shepparton!B96</f>
        <v>349320</v>
      </c>
      <c r="C79" s="100" t="s">
        <v>5</v>
      </c>
      <c r="D79" s="100">
        <f>+Shepparton!D96</f>
        <v>7615</v>
      </c>
      <c r="E79" s="100">
        <f>+Shepparton!E96</f>
        <v>4880</v>
      </c>
      <c r="F79">
        <v>5000</v>
      </c>
    </row>
    <row r="80" spans="1:6" hidden="1">
      <c r="A80" t="str">
        <f>+Lifestyle!A88</f>
        <v>Inglewood 29</v>
      </c>
      <c r="B80" s="100">
        <f>+Shepparton!B97</f>
        <v>368950</v>
      </c>
      <c r="C80" s="100" t="s">
        <v>5</v>
      </c>
      <c r="D80" s="100">
        <f>+Shepparton!D97</f>
        <v>8615</v>
      </c>
      <c r="E80" s="100">
        <f>+Shepparton!E97</f>
        <v>5340</v>
      </c>
      <c r="F80">
        <v>5000</v>
      </c>
    </row>
    <row r="81" spans="1:6" hidden="1">
      <c r="A81" t="str">
        <f>+Lifestyle!A89</f>
        <v>Inglewood 31</v>
      </c>
      <c r="B81" s="100">
        <f>+Shepparton!B98</f>
        <v>387200</v>
      </c>
      <c r="C81" s="100" t="s">
        <v>5</v>
      </c>
      <c r="D81" s="100">
        <f>+Shepparton!D98</f>
        <v>8515</v>
      </c>
      <c r="E81" s="100">
        <f>+Shepparton!E98</f>
        <v>6025</v>
      </c>
      <c r="F81">
        <v>5000</v>
      </c>
    </row>
    <row r="82" spans="1:6" hidden="1">
      <c r="A82" t="str">
        <f>+Lifestyle!A90</f>
        <v>Inglewood 34</v>
      </c>
      <c r="B82" s="100">
        <f>+Shepparton!B99</f>
        <v>406410</v>
      </c>
      <c r="C82" s="100" t="s">
        <v>5</v>
      </c>
      <c r="D82" s="100">
        <f>+Shepparton!D99</f>
        <v>9045</v>
      </c>
      <c r="E82" s="100">
        <f>+Shepparton!E99</f>
        <v>7265</v>
      </c>
      <c r="F82">
        <v>5000</v>
      </c>
    </row>
    <row r="83" spans="1:6" hidden="1">
      <c r="A83" t="str">
        <f>+Lifestyle!A91</f>
        <v>Inglewood 35</v>
      </c>
      <c r="B83" s="100">
        <f>+Shepparton!B100</f>
        <v>425550</v>
      </c>
      <c r="C83" s="100" t="s">
        <v>5</v>
      </c>
      <c r="D83" s="100">
        <f>+Shepparton!D100</f>
        <v>9030</v>
      </c>
      <c r="E83" s="100">
        <f>+Shepparton!E100</f>
        <v>7055</v>
      </c>
      <c r="F83">
        <v>5000</v>
      </c>
    </row>
    <row r="84" spans="1:6" hidden="1">
      <c r="A84" t="str">
        <f>+Lifestyle!A92</f>
        <v>Inglewood 38</v>
      </c>
      <c r="B84" s="100">
        <f>+Shepparton!B101</f>
        <v>443180</v>
      </c>
      <c r="C84" s="100" t="s">
        <v>5</v>
      </c>
      <c r="D84" s="100">
        <f>+Shepparton!D101</f>
        <v>9185</v>
      </c>
      <c r="E84" s="100">
        <f>+Shepparton!E101</f>
        <v>7570</v>
      </c>
      <c r="F84">
        <v>5000</v>
      </c>
    </row>
    <row r="85" spans="1:6" hidden="1">
      <c r="A85" t="str">
        <f>+Lifestyle!A93</f>
        <v>Maldon 23</v>
      </c>
      <c r="B85" s="100">
        <f>+Shepparton!B102</f>
        <v>313120</v>
      </c>
      <c r="C85" s="100" t="s">
        <v>5</v>
      </c>
      <c r="D85" s="100">
        <f>+Shepparton!D102</f>
        <v>7165</v>
      </c>
      <c r="E85" s="100">
        <f>+Shepparton!E102</f>
        <v>3960</v>
      </c>
      <c r="F85">
        <v>5000</v>
      </c>
    </row>
    <row r="86" spans="1:6" hidden="1">
      <c r="A86" t="str">
        <f>+Lifestyle!A94</f>
        <v>Maldon 27</v>
      </c>
      <c r="B86" s="100">
        <f>+Shepparton!B103</f>
        <v>352270</v>
      </c>
      <c r="C86" s="100" t="s">
        <v>5</v>
      </c>
      <c r="D86" s="100">
        <f>+Shepparton!D103</f>
        <v>8585</v>
      </c>
      <c r="E86" s="100">
        <f>+Shepparton!E103</f>
        <v>4615</v>
      </c>
      <c r="F86">
        <v>5000</v>
      </c>
    </row>
    <row r="87" spans="1:6" hidden="1">
      <c r="A87" t="str">
        <f>+Lifestyle!A95</f>
        <v>Maldon 33</v>
      </c>
      <c r="B87" s="100">
        <f>+Shepparton!B104</f>
        <v>413150</v>
      </c>
      <c r="C87" s="100" t="s">
        <v>5</v>
      </c>
      <c r="D87" s="100">
        <f>+Shepparton!D104</f>
        <v>10300</v>
      </c>
      <c r="E87" s="100">
        <f>+Shepparton!E104</f>
        <v>5940</v>
      </c>
      <c r="F87">
        <v>5000</v>
      </c>
    </row>
    <row r="88" spans="1:6" hidden="1">
      <c r="A88" t="str">
        <f>+Lifestyle!A96</f>
        <v>Palmerston 28</v>
      </c>
      <c r="B88" s="100">
        <f>+Shepparton!B105</f>
        <v>359920</v>
      </c>
      <c r="C88" s="100" t="s">
        <v>5</v>
      </c>
      <c r="D88" s="100">
        <f>+Shepparton!D105</f>
        <v>7965</v>
      </c>
      <c r="E88" s="100">
        <f>+Shepparton!E105</f>
        <v>5120</v>
      </c>
      <c r="F88">
        <v>5000</v>
      </c>
    </row>
    <row r="89" spans="1:6" hidden="1">
      <c r="A89" t="str">
        <f>+Lifestyle!A97</f>
        <v>Palmerston 35</v>
      </c>
      <c r="B89" s="100">
        <f>+Shepparton!B106</f>
        <v>412420</v>
      </c>
      <c r="C89" s="100" t="s">
        <v>5</v>
      </c>
      <c r="D89" s="100">
        <f>+Shepparton!D106</f>
        <v>9655</v>
      </c>
      <c r="E89" s="100">
        <f>+Shepparton!E106</f>
        <v>7630</v>
      </c>
      <c r="F89">
        <v>5000</v>
      </c>
    </row>
    <row r="90" spans="1:6" hidden="1">
      <c r="A90" t="str">
        <f>+Lifestyle!A98</f>
        <v>Sandown 23</v>
      </c>
      <c r="B90" s="100">
        <f>+Shepparton!B107</f>
        <v>321050</v>
      </c>
      <c r="C90" s="100" t="s">
        <v>5</v>
      </c>
      <c r="D90" s="100">
        <f>+Shepparton!D107</f>
        <v>7335</v>
      </c>
      <c r="E90" s="100">
        <f>+Shepparton!E107</f>
        <v>3760</v>
      </c>
      <c r="F90">
        <v>5000</v>
      </c>
    </row>
    <row r="91" spans="1:6" hidden="1">
      <c r="A91" t="str">
        <f>+Lifestyle!A99</f>
        <v>Sandown 26</v>
      </c>
      <c r="B91" s="100">
        <f>+Shepparton!B108</f>
        <v>353720</v>
      </c>
      <c r="C91" s="100" t="s">
        <v>5</v>
      </c>
      <c r="D91" s="100">
        <f>+Shepparton!D108</f>
        <v>8025</v>
      </c>
      <c r="E91" s="100">
        <f>+Shepparton!E108</f>
        <v>4720</v>
      </c>
      <c r="F91">
        <v>5000</v>
      </c>
    </row>
    <row r="92" spans="1:6" hidden="1">
      <c r="A92" t="str">
        <f>+Lifestyle!A100</f>
        <v>Sandown 28 (30)</v>
      </c>
      <c r="B92" s="100">
        <f>+Shepparton!B109</f>
        <v>376710</v>
      </c>
      <c r="C92" s="100" t="s">
        <v>5</v>
      </c>
      <c r="D92" s="100">
        <f>+Shepparton!D109</f>
        <v>9030</v>
      </c>
      <c r="E92" s="100">
        <f>+Shepparton!E109</f>
        <v>6215</v>
      </c>
      <c r="F92">
        <v>5000</v>
      </c>
    </row>
    <row r="93" spans="1:6" hidden="1">
      <c r="A93" t="str">
        <f>+Lifestyle!A101</f>
        <v>Sandown 32</v>
      </c>
      <c r="B93" s="100">
        <f>+Shepparton!B110</f>
        <v>387250</v>
      </c>
      <c r="C93" s="100" t="s">
        <v>5</v>
      </c>
      <c r="D93" s="100">
        <f>+Shepparton!D110</f>
        <v>8615</v>
      </c>
      <c r="E93" s="100">
        <f>+Shepparton!E110</f>
        <v>6140</v>
      </c>
      <c r="F93">
        <v>5000</v>
      </c>
    </row>
    <row r="94" spans="1:6" hidden="1">
      <c r="A94" t="str">
        <f>+Lifestyle!A102</f>
        <v>Sandown 34 MG</v>
      </c>
      <c r="B94" s="100">
        <f>+Shepparton!B111</f>
        <v>422020</v>
      </c>
      <c r="C94" s="100" t="s">
        <v>5</v>
      </c>
      <c r="D94" s="100">
        <f>+Shepparton!D111</f>
        <v>9555</v>
      </c>
      <c r="E94" s="100">
        <f>+Shepparton!E111</f>
        <v>5615</v>
      </c>
      <c r="F94">
        <v>5000</v>
      </c>
    </row>
    <row r="95" spans="1:6" hidden="1">
      <c r="A95" t="str">
        <f>+Lifestyle!A103</f>
        <v>Sandown 40 MG</v>
      </c>
      <c r="B95" s="100">
        <f>+Shepparton!B112</f>
        <v>476610</v>
      </c>
      <c r="C95" s="100" t="s">
        <v>5</v>
      </c>
      <c r="D95" s="100">
        <f>+Shepparton!D112</f>
        <v>8710</v>
      </c>
      <c r="E95" s="100">
        <f>+Shepparton!E112</f>
        <v>8980</v>
      </c>
      <c r="F95">
        <v>5000</v>
      </c>
    </row>
    <row r="96" spans="1:6" hidden="1">
      <c r="A96" t="str">
        <f>+Lifestyle!A104</f>
        <v>Sandown 41 MG</v>
      </c>
      <c r="B96" s="100">
        <f>+Shepparton!B113</f>
        <v>474800</v>
      </c>
      <c r="C96" s="100" t="s">
        <v>5</v>
      </c>
      <c r="D96" s="100">
        <f>+Shepparton!D113</f>
        <v>9830</v>
      </c>
      <c r="E96" s="100">
        <f>+Shepparton!E113</f>
        <v>8155</v>
      </c>
      <c r="F96">
        <v>5000</v>
      </c>
    </row>
    <row r="97" spans="1:6" hidden="1">
      <c r="A97" t="str">
        <f>+Lifestyle!A105</f>
        <v>Winton 24</v>
      </c>
      <c r="B97" s="100">
        <f>+Shepparton!B114</f>
        <v>327570</v>
      </c>
      <c r="C97" s="100" t="s">
        <v>5</v>
      </c>
      <c r="D97" s="100">
        <f>+Shepparton!D114</f>
        <v>7785</v>
      </c>
      <c r="E97" s="100">
        <f>+Shepparton!E114</f>
        <v>3690</v>
      </c>
      <c r="F97">
        <v>5000</v>
      </c>
    </row>
    <row r="98" spans="1:6" hidden="1">
      <c r="A98" t="str">
        <f>+Lifestyle!A106</f>
        <v>Winton 28</v>
      </c>
      <c r="B98" s="100">
        <f>+Shepparton!B115</f>
        <v>364140</v>
      </c>
      <c r="C98" s="100" t="s">
        <v>5</v>
      </c>
      <c r="D98" s="100">
        <f>+Shepparton!D115</f>
        <v>8685</v>
      </c>
      <c r="E98" s="100">
        <f>+Shepparton!E115</f>
        <v>5230</v>
      </c>
      <c r="F98">
        <v>5000</v>
      </c>
    </row>
    <row r="99" spans="1:6" hidden="1">
      <c r="A99" t="str">
        <f>+Lifestyle!A107</f>
        <v>Winton 32</v>
      </c>
      <c r="B99" s="100">
        <f>+Shepparton!B116</f>
        <v>407450</v>
      </c>
      <c r="C99" s="100" t="s">
        <v>5</v>
      </c>
      <c r="D99" s="100">
        <f>+Shepparton!D116</f>
        <v>10365</v>
      </c>
      <c r="E99" s="100">
        <f>+Shepparton!E116</f>
        <v>6480</v>
      </c>
      <c r="F99">
        <v>5000</v>
      </c>
    </row>
    <row r="100" spans="1:6" hidden="1">
      <c r="A100" t="str">
        <f>+Lifestyle!A110</f>
        <v>Albany 17</v>
      </c>
      <c r="B100" s="100">
        <f>+Shepparton!B130</f>
        <v>281610</v>
      </c>
      <c r="C100" s="100" t="s">
        <v>5</v>
      </c>
      <c r="D100" s="100">
        <f>+Shepparton!D130</f>
        <v>6020</v>
      </c>
      <c r="E100" s="100">
        <f>+Shepparton!E130</f>
        <v>2420</v>
      </c>
      <c r="F100">
        <v>5000</v>
      </c>
    </row>
    <row r="101" spans="1:6" hidden="1">
      <c r="A101" t="str">
        <f>+Lifestyle!A111</f>
        <v>Albany 18</v>
      </c>
      <c r="B101" s="100">
        <f>+Shepparton!B131</f>
        <v>293600</v>
      </c>
      <c r="C101" s="100" t="s">
        <v>5</v>
      </c>
      <c r="D101" s="100">
        <f>+Shepparton!D131</f>
        <v>6020</v>
      </c>
      <c r="E101" s="100">
        <f>+Shepparton!E131</f>
        <v>2420</v>
      </c>
      <c r="F101">
        <v>5000</v>
      </c>
    </row>
    <row r="102" spans="1:6" hidden="1">
      <c r="A102" t="str">
        <f>+Lifestyle!A112</f>
        <v>Albany 20</v>
      </c>
      <c r="B102" s="100">
        <f>+Shepparton!B132</f>
        <v>300590</v>
      </c>
      <c r="C102" s="100" t="s">
        <v>5</v>
      </c>
      <c r="D102" s="100">
        <f>+Shepparton!D132</f>
        <v>6985</v>
      </c>
      <c r="E102" s="100">
        <f>+Shepparton!E132</f>
        <v>2415</v>
      </c>
      <c r="F102">
        <v>5000</v>
      </c>
    </row>
    <row r="103" spans="1:6" hidden="1">
      <c r="A103" t="str">
        <f>+Lifestyle!A113</f>
        <v>Avoca 16</v>
      </c>
      <c r="B103" s="100">
        <f>+Shepparton!B133</f>
        <v>277130</v>
      </c>
      <c r="C103" s="100" t="s">
        <v>5</v>
      </c>
      <c r="D103" s="100">
        <f>+Shepparton!D133</f>
        <v>5860</v>
      </c>
      <c r="E103" s="100">
        <f>+Shepparton!E133</f>
        <v>2565</v>
      </c>
      <c r="F103">
        <v>5000</v>
      </c>
    </row>
    <row r="104" spans="1:6" hidden="1">
      <c r="A104" t="str">
        <f>+Lifestyle!A114</f>
        <v>Avoca 19</v>
      </c>
      <c r="B104" s="100">
        <f>+Shepparton!B134</f>
        <v>297720</v>
      </c>
      <c r="C104" s="100" t="s">
        <v>5</v>
      </c>
      <c r="D104" s="100">
        <f>+Shepparton!D134</f>
        <v>6355</v>
      </c>
      <c r="E104" s="100">
        <f>+Shepparton!E134</f>
        <v>3230</v>
      </c>
      <c r="F104">
        <v>5000</v>
      </c>
    </row>
    <row r="105" spans="1:6" hidden="1">
      <c r="A105" t="str">
        <f>+Lifestyle!A115</f>
        <v>Avoca 20</v>
      </c>
      <c r="B105" s="100">
        <f>+Shepparton!B135</f>
        <v>301320</v>
      </c>
      <c r="C105" s="100" t="s">
        <v>5</v>
      </c>
      <c r="D105" s="100">
        <f>+Shepparton!D135</f>
        <v>5905</v>
      </c>
      <c r="E105" s="100">
        <f>+Shepparton!E135</f>
        <v>3835</v>
      </c>
      <c r="F105">
        <v>5000</v>
      </c>
    </row>
    <row r="106" spans="1:6" hidden="1">
      <c r="A106" t="str">
        <f>+Lifestyle!A116</f>
        <v>Belinda 16</v>
      </c>
      <c r="B106" s="100">
        <f>+Shepparton!B136</f>
        <v>245920</v>
      </c>
      <c r="C106" s="100" t="s">
        <v>5</v>
      </c>
      <c r="D106" s="100">
        <f>+Shepparton!D136</f>
        <v>5865</v>
      </c>
      <c r="E106" s="100">
        <f>+Shepparton!E136</f>
        <v>2700</v>
      </c>
      <c r="F106">
        <v>5000</v>
      </c>
    </row>
    <row r="107" spans="1:6" hidden="1">
      <c r="A107" t="str">
        <f>+Lifestyle!A117</f>
        <v>Belinda 18</v>
      </c>
      <c r="B107" s="100">
        <f>+Shepparton!B137</f>
        <v>279600</v>
      </c>
      <c r="C107" s="100" t="s">
        <v>5</v>
      </c>
      <c r="D107" s="100">
        <f>+Shepparton!D137</f>
        <v>6770</v>
      </c>
      <c r="E107" s="100">
        <f>+Shepparton!E137</f>
        <v>2660</v>
      </c>
      <c r="F107">
        <v>5000</v>
      </c>
    </row>
    <row r="108" spans="1:6" hidden="1">
      <c r="A108" t="str">
        <f>+Lifestyle!A118</f>
        <v>Belinda 20</v>
      </c>
      <c r="B108" s="100">
        <f>+Shepparton!B138</f>
        <v>295100</v>
      </c>
      <c r="C108" s="100" t="s">
        <v>5</v>
      </c>
      <c r="D108" s="100">
        <f>+Shepparton!D138</f>
        <v>7355</v>
      </c>
      <c r="E108" s="100">
        <f>+Shepparton!E138</f>
        <v>3320</v>
      </c>
      <c r="F108">
        <v>5000</v>
      </c>
    </row>
    <row r="109" spans="1:6" hidden="1">
      <c r="A109" t="str">
        <f>+Lifestyle!A119</f>
        <v>Fairfield 18</v>
      </c>
      <c r="B109" s="100">
        <f>+Shepparton!B139</f>
        <v>291040</v>
      </c>
      <c r="C109" s="100" t="s">
        <v>5</v>
      </c>
      <c r="D109" s="100">
        <f>+Shepparton!D139</f>
        <v>6715</v>
      </c>
      <c r="E109" s="100">
        <f>+Shepparton!E139</f>
        <v>2760</v>
      </c>
      <c r="F109">
        <v>5000</v>
      </c>
    </row>
    <row r="110" spans="1:6" hidden="1">
      <c r="A110" t="str">
        <f>+Lifestyle!A120</f>
        <v>Fairfield 19</v>
      </c>
      <c r="B110" s="100">
        <f>+Shepparton!B140</f>
        <v>294020</v>
      </c>
      <c r="C110" s="100" t="s">
        <v>5</v>
      </c>
      <c r="D110" s="100">
        <f>+Shepparton!D140</f>
        <v>6790</v>
      </c>
      <c r="E110" s="100">
        <f>+Shepparton!E140</f>
        <v>3010</v>
      </c>
      <c r="F110">
        <v>5000</v>
      </c>
    </row>
    <row r="111" spans="1:6" hidden="1">
      <c r="A111" t="str">
        <f>+Lifestyle!A121</f>
        <v>Fairfield 20</v>
      </c>
      <c r="B111" s="100">
        <f>+Shepparton!B141</f>
        <v>306820</v>
      </c>
      <c r="C111" s="100" t="s">
        <v>5</v>
      </c>
      <c r="D111" s="100">
        <f>+Shepparton!D141</f>
        <v>6995</v>
      </c>
      <c r="E111" s="100">
        <f>+Shepparton!E141</f>
        <v>3110</v>
      </c>
      <c r="F111">
        <v>5000</v>
      </c>
    </row>
    <row r="112" spans="1:6" hidden="1">
      <c r="A112" t="str">
        <f>+Lifestyle!A123</f>
        <v>Melrose 19</v>
      </c>
      <c r="B112" s="100">
        <f>+Shepparton!B143</f>
        <v>285110</v>
      </c>
      <c r="C112" s="100" t="s">
        <v>5</v>
      </c>
      <c r="D112" s="100">
        <f>+Shepparton!D143</f>
        <v>5775</v>
      </c>
      <c r="E112" s="100">
        <f>+Shepparton!E143</f>
        <v>2875</v>
      </c>
      <c r="F112">
        <v>5000</v>
      </c>
    </row>
    <row r="113" spans="1:6" hidden="1">
      <c r="A113" t="str">
        <f>+Lifestyle!A124</f>
        <v>Stratford 16A</v>
      </c>
      <c r="B113" s="100">
        <f>+Shepparton!B144</f>
        <v>270760</v>
      </c>
      <c r="C113" s="100" t="s">
        <v>5</v>
      </c>
      <c r="D113" s="100">
        <f>+Shepparton!D144</f>
        <v>5785</v>
      </c>
      <c r="E113" s="100">
        <f>+Shepparton!E144</f>
        <v>2275</v>
      </c>
      <c r="F113">
        <v>5000</v>
      </c>
    </row>
    <row r="114" spans="1:6" hidden="1">
      <c r="A114" t="str">
        <f>+Lifestyle!A125</f>
        <v>Stratford 16B</v>
      </c>
      <c r="B114" s="100">
        <f>+Shepparton!B145</f>
        <v>273760</v>
      </c>
      <c r="C114" s="100" t="s">
        <v>5</v>
      </c>
      <c r="D114" s="100">
        <f>+Shepparton!D145</f>
        <v>6405</v>
      </c>
      <c r="E114" s="100">
        <f>+Shepparton!E145</f>
        <v>2260</v>
      </c>
      <c r="F114">
        <v>5000</v>
      </c>
    </row>
    <row r="115" spans="1:6" hidden="1">
      <c r="A115" t="str">
        <f>+Lifestyle!A129</f>
        <v>Belmont 22A</v>
      </c>
      <c r="B115" s="100">
        <f>+Shepparton!B149</f>
        <v>308710</v>
      </c>
      <c r="C115" s="100" t="s">
        <v>5</v>
      </c>
      <c r="D115" s="100">
        <f>+Shepparton!D149</f>
        <v>8070</v>
      </c>
      <c r="E115" s="100">
        <f>+Shepparton!E149</f>
        <v>2970</v>
      </c>
      <c r="F115">
        <v>5000</v>
      </c>
    </row>
    <row r="116" spans="1:6" hidden="1">
      <c r="A116" t="str">
        <f>+Lifestyle!A130</f>
        <v>Belmont 22B</v>
      </c>
      <c r="B116" s="100">
        <f>+Shepparton!B150</f>
        <v>311300</v>
      </c>
      <c r="C116" s="100" t="s">
        <v>5</v>
      </c>
      <c r="D116" s="100">
        <f>+Shepparton!D150</f>
        <v>7140</v>
      </c>
      <c r="E116" s="100">
        <f>+Shepparton!E150</f>
        <v>3535</v>
      </c>
      <c r="F116">
        <v>5000</v>
      </c>
    </row>
    <row r="117" spans="1:6" hidden="1">
      <c r="A117" t="str">
        <f>+Lifestyle!A131</f>
        <v>Belmont 24A</v>
      </c>
      <c r="B117" s="100">
        <f>+Shepparton!B151</f>
        <v>328360</v>
      </c>
      <c r="C117" s="100" t="s">
        <v>5</v>
      </c>
      <c r="D117" s="100">
        <f>+Shepparton!D151</f>
        <v>8545</v>
      </c>
      <c r="E117" s="100">
        <f>+Shepparton!E151</f>
        <v>3995</v>
      </c>
      <c r="F117">
        <v>5000</v>
      </c>
    </row>
    <row r="118" spans="1:6" hidden="1">
      <c r="A118" t="str">
        <f>+Lifestyle!A132</f>
        <v>Belmont 24B</v>
      </c>
      <c r="B118" s="100">
        <f>+Shepparton!B152</f>
        <v>324620</v>
      </c>
      <c r="C118" s="100" t="s">
        <v>5</v>
      </c>
      <c r="D118" s="100">
        <f>+Shepparton!D152</f>
        <v>7820</v>
      </c>
      <c r="E118" s="100">
        <f>+Shepparton!E152</f>
        <v>3995</v>
      </c>
      <c r="F118">
        <v>5000</v>
      </c>
    </row>
    <row r="119" spans="1:6" hidden="1">
      <c r="A119" t="str">
        <f>+Lifestyle!A133</f>
        <v>Kiewa 15</v>
      </c>
      <c r="B119" s="100">
        <f>+Shepparton!B153</f>
        <v>253800</v>
      </c>
      <c r="C119" s="100" t="s">
        <v>5</v>
      </c>
      <c r="D119" s="100">
        <f>+Shepparton!D153</f>
        <v>3270</v>
      </c>
      <c r="E119" s="100">
        <f>+Shepparton!E153</f>
        <v>2860</v>
      </c>
      <c r="F119">
        <v>5000</v>
      </c>
    </row>
    <row r="120" spans="1:6" hidden="1">
      <c r="A120" t="str">
        <f>+Lifestyle!A134</f>
        <v>Kiewa 17</v>
      </c>
      <c r="B120" s="100">
        <f>+Shepparton!B154</f>
        <v>268560</v>
      </c>
      <c r="C120" s="100" t="s">
        <v>5</v>
      </c>
      <c r="D120" s="100">
        <f>+Shepparton!D154</f>
        <v>3485</v>
      </c>
      <c r="E120" s="100">
        <f>+Shepparton!E154</f>
        <v>3615</v>
      </c>
      <c r="F120">
        <v>5000</v>
      </c>
    </row>
    <row r="121" spans="1:6" hidden="1">
      <c r="A121" t="str">
        <f>+Lifestyle!A135</f>
        <v>Kiewa 18</v>
      </c>
      <c r="B121" s="100">
        <f>+Shepparton!B155</f>
        <v>281830</v>
      </c>
      <c r="C121" s="100" t="s">
        <v>5</v>
      </c>
      <c r="D121" s="100">
        <f>+Shepparton!D155</f>
        <v>4265</v>
      </c>
      <c r="E121" s="100">
        <f>+Shepparton!E155</f>
        <v>4555</v>
      </c>
      <c r="F121">
        <v>5000</v>
      </c>
    </row>
    <row r="122" spans="1:6" hidden="1">
      <c r="A122" t="str">
        <f>+Lifestyle!A136</f>
        <v>Kiewa 21</v>
      </c>
      <c r="B122" s="100">
        <f>+Shepparton!B156</f>
        <v>300330</v>
      </c>
      <c r="C122" s="100" t="s">
        <v>5</v>
      </c>
      <c r="D122" s="100">
        <f>+Shepparton!D156</f>
        <v>4510</v>
      </c>
      <c r="E122" s="100">
        <f>+Shepparton!E156</f>
        <v>4915</v>
      </c>
      <c r="F122">
        <v>5000</v>
      </c>
    </row>
    <row r="123" spans="1:6" hidden="1">
      <c r="A123" t="str">
        <f t="shared" ref="A123:A132" si="0">+A8</f>
        <v>Adelaide 18</v>
      </c>
      <c r="B123" s="100">
        <f>+Echuca!B4</f>
        <v>295550</v>
      </c>
      <c r="C123" s="100" t="s">
        <v>218</v>
      </c>
      <c r="D123" s="100">
        <f>+Echuca!D4</f>
        <v>5010</v>
      </c>
      <c r="E123" s="100">
        <f>+Echuca!E4</f>
        <v>2785</v>
      </c>
      <c r="F123">
        <v>5000</v>
      </c>
    </row>
    <row r="124" spans="1:6" hidden="1">
      <c r="A124" t="str">
        <f t="shared" si="0"/>
        <v>Adelaide 21</v>
      </c>
      <c r="B124" s="100">
        <f>+Echuca!B5</f>
        <v>309980</v>
      </c>
      <c r="C124" s="100" t="s">
        <v>218</v>
      </c>
      <c r="D124" s="100">
        <f>+Echuca!D5</f>
        <v>5140</v>
      </c>
      <c r="E124" s="100">
        <f>+Echuca!E5</f>
        <v>4100</v>
      </c>
      <c r="F124">
        <v>5000</v>
      </c>
    </row>
    <row r="125" spans="1:6" hidden="1">
      <c r="A125" t="str">
        <f t="shared" si="0"/>
        <v>Adelaide 22A</v>
      </c>
      <c r="B125" s="100">
        <f>+Echuca!B6</f>
        <v>324000</v>
      </c>
      <c r="C125" s="100" t="s">
        <v>218</v>
      </c>
      <c r="D125" s="100">
        <f>+Echuca!D6</f>
        <v>5935</v>
      </c>
      <c r="E125" s="100">
        <f>+Echuca!E6</f>
        <v>4085</v>
      </c>
      <c r="F125">
        <v>5000</v>
      </c>
    </row>
    <row r="126" spans="1:6" hidden="1">
      <c r="A126" t="str">
        <f t="shared" si="0"/>
        <v>Adelaide 22B</v>
      </c>
      <c r="B126" s="100">
        <f>+Echuca!B7</f>
        <v>325640</v>
      </c>
      <c r="C126" s="100" t="s">
        <v>218</v>
      </c>
      <c r="D126" s="100">
        <f>+Echuca!D7</f>
        <v>5885</v>
      </c>
      <c r="E126" s="100">
        <f>+Echuca!E7</f>
        <v>3985</v>
      </c>
      <c r="F126">
        <v>5000</v>
      </c>
    </row>
    <row r="127" spans="1:6" hidden="1">
      <c r="A127" t="str">
        <f t="shared" si="0"/>
        <v>Adelaide 24</v>
      </c>
      <c r="B127" s="100">
        <f>+Echuca!B8</f>
        <v>333230</v>
      </c>
      <c r="C127" s="100" t="s">
        <v>218</v>
      </c>
      <c r="D127" s="100">
        <f>+Echuca!D8</f>
        <v>6420</v>
      </c>
      <c r="E127" s="100">
        <f>+Echuca!E8</f>
        <v>4990</v>
      </c>
      <c r="F127">
        <v>5000</v>
      </c>
    </row>
    <row r="128" spans="1:6" hidden="1">
      <c r="A128" t="str">
        <f t="shared" si="0"/>
        <v>Ashfield 24</v>
      </c>
      <c r="B128" s="100">
        <f>+Echuca!B9</f>
        <v>335580</v>
      </c>
      <c r="C128" s="100" t="s">
        <v>218</v>
      </c>
      <c r="D128" s="100">
        <f>+Echuca!D9</f>
        <v>8670</v>
      </c>
      <c r="E128" s="100">
        <f>+Echuca!E9</f>
        <v>3475</v>
      </c>
      <c r="F128">
        <v>5000</v>
      </c>
    </row>
    <row r="129" spans="1:6" hidden="1">
      <c r="A129" t="str">
        <f t="shared" si="0"/>
        <v>Ashfield 30</v>
      </c>
      <c r="B129" s="100">
        <f>+Echuca!B10</f>
        <v>372840</v>
      </c>
      <c r="C129" s="100" t="s">
        <v>218</v>
      </c>
      <c r="D129" s="100">
        <f>+Echuca!D10</f>
        <v>7940</v>
      </c>
      <c r="E129" s="100">
        <f>+Echuca!E10</f>
        <v>5610</v>
      </c>
      <c r="F129">
        <v>5000</v>
      </c>
    </row>
    <row r="130" spans="1:6" hidden="1">
      <c r="A130" t="str">
        <f t="shared" si="0"/>
        <v>Ashfield 34</v>
      </c>
      <c r="B130" s="100">
        <f>+Echuca!B11</f>
        <v>399470</v>
      </c>
      <c r="C130" s="100" t="s">
        <v>218</v>
      </c>
      <c r="D130" s="100">
        <f>+Echuca!D11</f>
        <v>8440</v>
      </c>
      <c r="E130" s="100">
        <f>+Echuca!E11</f>
        <v>6700</v>
      </c>
      <c r="F130">
        <v>5000</v>
      </c>
    </row>
    <row r="131" spans="1:6" hidden="1">
      <c r="A131" t="str">
        <f t="shared" si="0"/>
        <v>Ashley 19</v>
      </c>
      <c r="B131" s="100">
        <f>+Echuca!B12</f>
        <v>293860</v>
      </c>
      <c r="C131" s="100" t="s">
        <v>218</v>
      </c>
      <c r="D131" s="100">
        <f>+Echuca!D12</f>
        <v>5805</v>
      </c>
      <c r="E131" s="100">
        <f>+Echuca!E12</f>
        <v>2805</v>
      </c>
      <c r="F131">
        <v>5000</v>
      </c>
    </row>
    <row r="132" spans="1:6" hidden="1">
      <c r="A132" t="str">
        <f t="shared" si="0"/>
        <v>Ashley 22</v>
      </c>
      <c r="B132" s="100">
        <f>+Echuca!B14</f>
        <v>310550</v>
      </c>
      <c r="C132" s="100" t="s">
        <v>218</v>
      </c>
      <c r="D132" s="100">
        <f>+Echuca!D14</f>
        <v>6855</v>
      </c>
      <c r="E132" s="100">
        <f>+Echuca!E14</f>
        <v>3875</v>
      </c>
      <c r="F132">
        <v>5000</v>
      </c>
    </row>
    <row r="133" spans="1:6" hidden="1">
      <c r="A133" t="str">
        <f t="shared" ref="A133:A134" si="1">+A18</f>
        <v>Ashley 22A</v>
      </c>
      <c r="B133" s="100">
        <f>+Echuca!B15</f>
        <v>316920</v>
      </c>
      <c r="C133" s="100" t="s">
        <v>218</v>
      </c>
      <c r="D133" s="100">
        <f>+Echuca!D15</f>
        <v>7470</v>
      </c>
      <c r="E133" s="100">
        <f>+Echuca!E15</f>
        <v>3615</v>
      </c>
      <c r="F133">
        <v>5001</v>
      </c>
    </row>
    <row r="134" spans="1:6" hidden="1">
      <c r="A134" t="str">
        <f t="shared" si="1"/>
        <v>Ashley 24</v>
      </c>
      <c r="B134" s="100">
        <f>+Echuca!B16</f>
        <v>328570</v>
      </c>
      <c r="C134" s="100" t="s">
        <v>218</v>
      </c>
      <c r="D134" s="100">
        <f>+Echuca!D16</f>
        <v>6505</v>
      </c>
      <c r="E134" s="100">
        <f>+Echuca!E16</f>
        <v>4665</v>
      </c>
      <c r="F134">
        <v>5002</v>
      </c>
    </row>
    <row r="135" spans="1:6" hidden="1">
      <c r="A135" t="str">
        <f t="shared" ref="A135:A158" si="2">+A20</f>
        <v>Ashley 25</v>
      </c>
      <c r="B135" s="100">
        <f>+Echuca!B17</f>
        <v>337410</v>
      </c>
      <c r="C135" s="100" t="s">
        <v>218</v>
      </c>
      <c r="D135" s="100">
        <f>+Echuca!D17</f>
        <v>6950</v>
      </c>
      <c r="E135" s="100">
        <f>+Echuca!E17</f>
        <v>4610</v>
      </c>
      <c r="F135">
        <v>5000</v>
      </c>
    </row>
    <row r="136" spans="1:6" hidden="1">
      <c r="A136" t="str">
        <f t="shared" si="2"/>
        <v>Ashley 25A</v>
      </c>
      <c r="B136" s="100">
        <f>+Echuca!B18</f>
        <v>347550</v>
      </c>
      <c r="C136" s="100" t="s">
        <v>218</v>
      </c>
      <c r="D136" s="100">
        <f>+Echuca!D18</f>
        <v>7040</v>
      </c>
      <c r="E136" s="100">
        <f>+Echuca!E18</f>
        <v>4655</v>
      </c>
      <c r="F136">
        <v>5000</v>
      </c>
    </row>
    <row r="137" spans="1:6" hidden="1">
      <c r="A137" t="str">
        <f t="shared" si="2"/>
        <v>Ashley 26</v>
      </c>
      <c r="B137" s="100">
        <f>+Echuca!B19</f>
        <v>344210</v>
      </c>
      <c r="C137" s="100" t="s">
        <v>218</v>
      </c>
      <c r="D137" s="100">
        <f>+Echuca!D19</f>
        <v>7050</v>
      </c>
      <c r="E137" s="100">
        <f>+Echuca!E19</f>
        <v>4900</v>
      </c>
      <c r="F137">
        <v>5000</v>
      </c>
    </row>
    <row r="138" spans="1:6" hidden="1">
      <c r="A138" t="str">
        <f t="shared" si="2"/>
        <v>Ashley 27</v>
      </c>
      <c r="B138" s="100">
        <f>+Echuca!B20</f>
        <v>356220</v>
      </c>
      <c r="C138" s="100" t="s">
        <v>218</v>
      </c>
      <c r="D138" s="100">
        <f>+Echuca!D20</f>
        <v>7995</v>
      </c>
      <c r="E138" s="100">
        <f>+Echuca!E20</f>
        <v>6080</v>
      </c>
      <c r="F138">
        <v>5000</v>
      </c>
    </row>
    <row r="139" spans="1:6" hidden="1">
      <c r="A139" t="str">
        <f t="shared" si="2"/>
        <v>Ashley 28</v>
      </c>
      <c r="B139" s="100">
        <f>+Echuca!B21</f>
        <v>360760</v>
      </c>
      <c r="C139" s="100" t="s">
        <v>218</v>
      </c>
      <c r="D139" s="100">
        <f>+Echuca!D21</f>
        <v>8895</v>
      </c>
      <c r="E139" s="100">
        <f>+Echuca!E21</f>
        <v>4395</v>
      </c>
      <c r="F139">
        <v>5000</v>
      </c>
    </row>
    <row r="140" spans="1:6" hidden="1">
      <c r="A140" t="str">
        <f t="shared" si="2"/>
        <v>Ashley 28A</v>
      </c>
      <c r="B140" s="100">
        <f>+Echuca!B22</f>
        <v>368510</v>
      </c>
      <c r="C140" s="100" t="s">
        <v>218</v>
      </c>
      <c r="D140" s="100">
        <f>+Echuca!D22</f>
        <v>9335</v>
      </c>
      <c r="E140" s="100">
        <f>+Echuca!E22</f>
        <v>5835</v>
      </c>
      <c r="F140">
        <v>5000</v>
      </c>
    </row>
    <row r="141" spans="1:6" hidden="1">
      <c r="A141" t="str">
        <f t="shared" si="2"/>
        <v>Ballina 24</v>
      </c>
      <c r="B141" s="100">
        <f>+Echuca!B23</f>
        <v>328840</v>
      </c>
      <c r="C141" s="100" t="s">
        <v>218</v>
      </c>
      <c r="D141" s="100">
        <f>+Echuca!D23</f>
        <v>7970</v>
      </c>
      <c r="E141" s="100">
        <f>+Echuca!E23</f>
        <v>3015</v>
      </c>
      <c r="F141">
        <v>5000</v>
      </c>
    </row>
    <row r="142" spans="1:6" hidden="1">
      <c r="A142" t="str">
        <f t="shared" si="2"/>
        <v>Ballina 30</v>
      </c>
      <c r="B142" s="100">
        <f>+Echuca!B24</f>
        <v>377980</v>
      </c>
      <c r="C142" s="100" t="s">
        <v>218</v>
      </c>
      <c r="D142" s="100">
        <f>+Echuca!D24</f>
        <v>9640</v>
      </c>
      <c r="E142" s="100">
        <f>+Echuca!E24</f>
        <v>5305</v>
      </c>
      <c r="F142">
        <v>5000</v>
      </c>
    </row>
    <row r="143" spans="1:6" hidden="1">
      <c r="A143" t="str">
        <f t="shared" si="2"/>
        <v>Ballina 30A</v>
      </c>
      <c r="B143" s="100">
        <f>+Echuca!B25</f>
        <v>380300</v>
      </c>
      <c r="C143" s="100" t="s">
        <v>218</v>
      </c>
      <c r="D143" s="100">
        <f>+Echuca!D25</f>
        <v>10765</v>
      </c>
      <c r="E143" s="100">
        <f>+Echuca!E25</f>
        <v>5680</v>
      </c>
      <c r="F143">
        <v>5000</v>
      </c>
    </row>
    <row r="144" spans="1:6" hidden="1">
      <c r="A144" t="str">
        <f t="shared" si="2"/>
        <v>Ballina 33</v>
      </c>
      <c r="B144" s="100">
        <f>+Echuca!B26</f>
        <v>412310</v>
      </c>
      <c r="C144" s="100" t="s">
        <v>218</v>
      </c>
      <c r="D144" s="100">
        <f>+Echuca!D26</f>
        <v>11835</v>
      </c>
      <c r="E144" s="100">
        <f>+Echuca!E26</f>
        <v>5245</v>
      </c>
      <c r="F144">
        <v>5000</v>
      </c>
    </row>
    <row r="145" spans="1:6" hidden="1">
      <c r="A145" t="str">
        <f t="shared" si="2"/>
        <v>Ballina 39</v>
      </c>
      <c r="B145" s="100">
        <f>+Echuca!B27</f>
        <v>457350</v>
      </c>
      <c r="C145" s="100" t="s">
        <v>218</v>
      </c>
      <c r="D145" s="100">
        <f>+Echuca!D27</f>
        <v>13260</v>
      </c>
      <c r="E145" s="100">
        <f>+Echuca!E27</f>
        <v>7725</v>
      </c>
      <c r="F145">
        <v>5000</v>
      </c>
    </row>
    <row r="146" spans="1:6" hidden="1">
      <c r="A146" t="str">
        <f t="shared" si="2"/>
        <v>Bathurst 25</v>
      </c>
      <c r="B146" s="100">
        <f>+Echuca!B28</f>
        <v>360680</v>
      </c>
      <c r="C146" s="100" t="s">
        <v>218</v>
      </c>
      <c r="D146" s="100">
        <f>+Echuca!D28</f>
        <v>7285</v>
      </c>
      <c r="E146" s="100">
        <f>+Echuca!E28</f>
        <v>3960</v>
      </c>
      <c r="F146">
        <v>5000</v>
      </c>
    </row>
    <row r="147" spans="1:6" hidden="1">
      <c r="A147" t="str">
        <f t="shared" si="2"/>
        <v>Bathurst 30</v>
      </c>
      <c r="B147" s="100">
        <f>+Echuca!B29</f>
        <v>407720</v>
      </c>
      <c r="C147" s="100" t="s">
        <v>218</v>
      </c>
      <c r="D147" s="100">
        <f>+Echuca!D29</f>
        <v>8780</v>
      </c>
      <c r="E147" s="100">
        <f>+Echuca!E29</f>
        <v>5635</v>
      </c>
      <c r="F147">
        <v>5000</v>
      </c>
    </row>
    <row r="148" spans="1:6" hidden="1">
      <c r="A148" t="str">
        <f t="shared" si="2"/>
        <v>Bathurst 34</v>
      </c>
      <c r="B148" s="100">
        <f>+Echuca!B30</f>
        <v>426050</v>
      </c>
      <c r="C148" s="100" t="s">
        <v>218</v>
      </c>
      <c r="D148" s="100">
        <f>+Echuca!D30</f>
        <v>9675</v>
      </c>
      <c r="E148" s="100">
        <f>+Echuca!E30</f>
        <v>6350</v>
      </c>
      <c r="F148">
        <v>5000</v>
      </c>
    </row>
    <row r="149" spans="1:6" hidden="1">
      <c r="A149" t="str">
        <f t="shared" si="2"/>
        <v>Bayview 23</v>
      </c>
      <c r="B149" s="100">
        <f>+Echuca!B31</f>
        <v>330140</v>
      </c>
      <c r="C149" s="100" t="s">
        <v>218</v>
      </c>
      <c r="D149" s="100">
        <f>+Echuca!D31</f>
        <v>8145</v>
      </c>
      <c r="E149" s="100">
        <f>+Echuca!E31</f>
        <v>3005</v>
      </c>
      <c r="F149">
        <v>5000</v>
      </c>
    </row>
    <row r="150" spans="1:6" hidden="1">
      <c r="A150" t="str">
        <f t="shared" si="2"/>
        <v>Bayview 26</v>
      </c>
      <c r="B150" s="100">
        <f>+Echuca!B32</f>
        <v>353100</v>
      </c>
      <c r="C150" s="100" t="s">
        <v>218</v>
      </c>
      <c r="D150" s="100">
        <f>+Echuca!D32</f>
        <v>7115</v>
      </c>
      <c r="E150" s="100">
        <f>+Echuca!E32</f>
        <v>5060</v>
      </c>
      <c r="F150">
        <v>5000</v>
      </c>
    </row>
    <row r="151" spans="1:6" hidden="1">
      <c r="A151" t="str">
        <f t="shared" si="2"/>
        <v>Bayview 30</v>
      </c>
      <c r="B151" s="100">
        <f>+Echuca!B33</f>
        <v>390550</v>
      </c>
      <c r="C151" s="100" t="s">
        <v>218</v>
      </c>
      <c r="D151" s="100">
        <f>+Echuca!D33</f>
        <v>8295</v>
      </c>
      <c r="E151" s="100">
        <f>+Echuca!E33</f>
        <v>6975</v>
      </c>
      <c r="F151">
        <v>5000</v>
      </c>
    </row>
    <row r="152" spans="1:6" hidden="1">
      <c r="A152" t="str">
        <f t="shared" si="2"/>
        <v>Bondi 25</v>
      </c>
      <c r="B152" s="100">
        <f>+Echuca!B34</f>
        <v>343960</v>
      </c>
      <c r="C152" s="100" t="s">
        <v>218</v>
      </c>
      <c r="D152" s="100">
        <f>+Echuca!D34</f>
        <v>9315</v>
      </c>
      <c r="E152" s="100">
        <f>+Echuca!E34</f>
        <v>3765</v>
      </c>
      <c r="F152">
        <v>5000</v>
      </c>
    </row>
    <row r="153" spans="1:6" hidden="1">
      <c r="A153" t="str">
        <f t="shared" si="2"/>
        <v>Bondi 31</v>
      </c>
      <c r="B153" s="100">
        <f>+Echuca!B35</f>
        <v>383710</v>
      </c>
      <c r="C153" s="100" t="s">
        <v>218</v>
      </c>
      <c r="D153" s="100">
        <f>+Echuca!D35</f>
        <v>10850</v>
      </c>
      <c r="E153" s="100">
        <f>+Echuca!E35</f>
        <v>5070</v>
      </c>
      <c r="F153">
        <v>5000</v>
      </c>
    </row>
    <row r="154" spans="1:6" hidden="1">
      <c r="A154" t="str">
        <f t="shared" si="2"/>
        <v>Bondi 36</v>
      </c>
      <c r="B154" s="100">
        <f>+Echuca!B36</f>
        <v>413150</v>
      </c>
      <c r="C154" s="100" t="s">
        <v>218</v>
      </c>
      <c r="D154" s="100">
        <f>+Echuca!D36</f>
        <v>12315</v>
      </c>
      <c r="E154" s="100">
        <f>+Echuca!E36</f>
        <v>6445</v>
      </c>
      <c r="F154">
        <v>5000</v>
      </c>
    </row>
    <row r="155" spans="1:6" hidden="1">
      <c r="A155" t="str">
        <f t="shared" si="2"/>
        <v>Cambridge 22</v>
      </c>
      <c r="B155" s="100">
        <f>+Echuca!B37</f>
        <v>322820</v>
      </c>
      <c r="C155" s="100" t="s">
        <v>218</v>
      </c>
      <c r="D155" s="100">
        <f>+Echuca!D37</f>
        <v>7965</v>
      </c>
      <c r="E155" s="100">
        <f>+Echuca!E37</f>
        <v>3465</v>
      </c>
      <c r="F155">
        <v>5000</v>
      </c>
    </row>
    <row r="156" spans="1:6" hidden="1">
      <c r="A156" t="str">
        <f t="shared" si="2"/>
        <v>Cambridge 24</v>
      </c>
      <c r="B156" s="100">
        <f>+Echuca!B38</f>
        <v>342820</v>
      </c>
      <c r="C156" s="100" t="s">
        <v>218</v>
      </c>
      <c r="D156" s="100">
        <f>+Echuca!D38</f>
        <v>7465</v>
      </c>
      <c r="E156" s="100">
        <f>+Echuca!E38</f>
        <v>4845</v>
      </c>
      <c r="F156">
        <v>5000</v>
      </c>
    </row>
    <row r="157" spans="1:6" hidden="1">
      <c r="A157" t="str">
        <f t="shared" si="2"/>
        <v>Cambridge 26</v>
      </c>
      <c r="B157" s="100">
        <f>+Echuca!B39</f>
        <v>359290</v>
      </c>
      <c r="C157" s="100" t="s">
        <v>218</v>
      </c>
      <c r="D157" s="100">
        <f>+Echuca!D39</f>
        <v>8805</v>
      </c>
      <c r="E157" s="100">
        <f>+Echuca!E39</f>
        <v>5280</v>
      </c>
      <c r="F157">
        <v>5000</v>
      </c>
    </row>
    <row r="158" spans="1:6" hidden="1">
      <c r="A158" t="str">
        <f t="shared" si="2"/>
        <v>Cambridge 30</v>
      </c>
      <c r="B158" s="100">
        <f>+Echuca!B40</f>
        <v>389270</v>
      </c>
      <c r="C158" s="100" t="s">
        <v>218</v>
      </c>
      <c r="D158" s="100">
        <f>+Echuca!D40</f>
        <v>8275</v>
      </c>
      <c r="E158" s="100">
        <f>+Echuca!E40</f>
        <v>7495</v>
      </c>
      <c r="F158">
        <v>5000</v>
      </c>
    </row>
    <row r="159" spans="1:6" hidden="1">
      <c r="A159" t="s">
        <v>136</v>
      </c>
      <c r="C159" s="100" t="s">
        <v>218</v>
      </c>
      <c r="E159" s="100"/>
      <c r="F159">
        <v>5000</v>
      </c>
    </row>
    <row r="160" spans="1:6" hidden="1">
      <c r="A160" t="str">
        <f t="shared" ref="A160:A201" si="3">+A45</f>
        <v>Duneed 22</v>
      </c>
      <c r="B160" s="100">
        <f>+Echuca!B51</f>
        <v>328240</v>
      </c>
      <c r="C160" s="100" t="s">
        <v>218</v>
      </c>
      <c r="D160" s="100">
        <f>+Echuca!D51</f>
        <v>6705</v>
      </c>
      <c r="E160" s="100">
        <f>+Echuca!E51</f>
        <v>3215</v>
      </c>
      <c r="F160">
        <v>5000</v>
      </c>
    </row>
    <row r="161" spans="1:6" hidden="1">
      <c r="A161" t="str">
        <f t="shared" si="3"/>
        <v>Duneed 23</v>
      </c>
      <c r="B161" s="100">
        <f>+Echuca!B52</f>
        <v>331250</v>
      </c>
      <c r="C161" s="100" t="s">
        <v>218</v>
      </c>
      <c r="D161" s="100">
        <f>+Echuca!D52</f>
        <v>6610</v>
      </c>
      <c r="E161" s="100">
        <f>+Echuca!E52</f>
        <v>3570</v>
      </c>
      <c r="F161">
        <v>5000</v>
      </c>
    </row>
    <row r="162" spans="1:6" hidden="1">
      <c r="A162" t="str">
        <f t="shared" si="3"/>
        <v>Duneed 24</v>
      </c>
      <c r="B162" s="100">
        <f>+Echuca!B53</f>
        <v>342420</v>
      </c>
      <c r="C162" s="100" t="s">
        <v>218</v>
      </c>
      <c r="D162" s="100">
        <f>+Echuca!D53</f>
        <v>6905</v>
      </c>
      <c r="E162" s="100">
        <f>+Echuca!E53</f>
        <v>4650</v>
      </c>
      <c r="F162">
        <v>5000</v>
      </c>
    </row>
    <row r="163" spans="1:6" hidden="1">
      <c r="A163" t="str">
        <f t="shared" si="3"/>
        <v>Duneed 25</v>
      </c>
      <c r="B163" s="100">
        <f>+Echuca!B54</f>
        <v>346420</v>
      </c>
      <c r="C163" s="100" t="s">
        <v>218</v>
      </c>
      <c r="D163" s="100">
        <f>+Echuca!D54</f>
        <v>6835</v>
      </c>
      <c r="E163" s="100">
        <f>+Echuca!E54</f>
        <v>5030</v>
      </c>
      <c r="F163">
        <v>5000</v>
      </c>
    </row>
    <row r="164" spans="1:6" hidden="1">
      <c r="A164" t="str">
        <f t="shared" si="3"/>
        <v>Duneed 30</v>
      </c>
      <c r="B164" s="100">
        <f>+Echuca!B55</f>
        <v>389930</v>
      </c>
      <c r="C164" s="100" t="s">
        <v>218</v>
      </c>
      <c r="D164" s="100">
        <f>+Echuca!D55</f>
        <v>9030</v>
      </c>
      <c r="E164" s="100">
        <f>+Echuca!E55</f>
        <v>5385</v>
      </c>
      <c r="F164">
        <v>5000</v>
      </c>
    </row>
    <row r="165" spans="1:6" hidden="1">
      <c r="A165" t="str">
        <f t="shared" si="3"/>
        <v>Eclipse 23</v>
      </c>
      <c r="B165" s="100">
        <f>+Echuca!B56</f>
        <v>340650</v>
      </c>
      <c r="C165" s="100" t="s">
        <v>218</v>
      </c>
      <c r="D165" s="100">
        <f>+Echuca!D56</f>
        <v>6225</v>
      </c>
      <c r="E165" s="100">
        <f>+Echuca!E56</f>
        <v>4555</v>
      </c>
      <c r="F165">
        <v>5000</v>
      </c>
    </row>
    <row r="166" spans="1:6" hidden="1">
      <c r="A166" t="str">
        <f t="shared" si="3"/>
        <v>Eclipse 26</v>
      </c>
      <c r="B166" s="100">
        <f>+Echuca!B57</f>
        <v>369120</v>
      </c>
      <c r="C166" s="100" t="s">
        <v>218</v>
      </c>
      <c r="D166" s="100">
        <f>+Echuca!D57</f>
        <v>6815</v>
      </c>
      <c r="E166" s="100">
        <f>+Echuca!E57</f>
        <v>5595</v>
      </c>
      <c r="F166">
        <v>5000</v>
      </c>
    </row>
    <row r="167" spans="1:6" hidden="1">
      <c r="A167" t="str">
        <f t="shared" si="3"/>
        <v>Eclipse 28</v>
      </c>
      <c r="B167" s="100">
        <f>+Echuca!B58</f>
        <v>384830</v>
      </c>
      <c r="C167" s="100" t="s">
        <v>218</v>
      </c>
      <c r="D167" s="100">
        <f>+Echuca!D58</f>
        <v>7105</v>
      </c>
      <c r="E167" s="100">
        <f>+Echuca!E58</f>
        <v>6350</v>
      </c>
      <c r="F167">
        <v>5000</v>
      </c>
    </row>
    <row r="168" spans="1:6" hidden="1">
      <c r="A168" t="str">
        <f t="shared" si="3"/>
        <v>Hamilton 24</v>
      </c>
      <c r="B168" s="100">
        <f>+Echuca!B59</f>
        <v>337630</v>
      </c>
      <c r="C168" s="100" t="s">
        <v>218</v>
      </c>
      <c r="D168" s="100">
        <f>+Echuca!D59</f>
        <v>8450</v>
      </c>
      <c r="E168" s="100">
        <f>+Echuca!E59</f>
        <v>3460</v>
      </c>
      <c r="F168">
        <v>5000</v>
      </c>
    </row>
    <row r="169" spans="1:6" hidden="1">
      <c r="A169" t="str">
        <f t="shared" si="3"/>
        <v>Hamilton 29</v>
      </c>
      <c r="B169" s="100">
        <f>+Echuca!B60</f>
        <v>379450</v>
      </c>
      <c r="C169" s="100" t="s">
        <v>218</v>
      </c>
      <c r="D169" s="100">
        <f>+Echuca!D60</f>
        <v>9065</v>
      </c>
      <c r="E169" s="100">
        <f>+Echuca!E60</f>
        <v>5080</v>
      </c>
      <c r="F169">
        <v>5000</v>
      </c>
    </row>
    <row r="170" spans="1:6" hidden="1">
      <c r="A170" t="str">
        <f t="shared" si="3"/>
        <v>Hamilton 34</v>
      </c>
      <c r="B170" s="100">
        <f>+Echuca!B61</f>
        <v>411050</v>
      </c>
      <c r="C170" s="100" t="s">
        <v>218</v>
      </c>
      <c r="D170" s="100">
        <f>+Echuca!D61</f>
        <v>9455</v>
      </c>
      <c r="E170" s="100">
        <f>+Echuca!E61</f>
        <v>6610</v>
      </c>
      <c r="F170">
        <v>5000</v>
      </c>
    </row>
    <row r="171" spans="1:6" hidden="1">
      <c r="A171" t="str">
        <f t="shared" si="3"/>
        <v>Launceston 21</v>
      </c>
      <c r="B171" s="100">
        <f>+Echuca!B62</f>
        <v>317210</v>
      </c>
      <c r="C171" s="100" t="s">
        <v>218</v>
      </c>
      <c r="D171" s="100">
        <f>+Echuca!D62</f>
        <v>6515</v>
      </c>
      <c r="E171" s="100">
        <f>+Echuca!E62</f>
        <v>3700</v>
      </c>
      <c r="F171">
        <v>5000</v>
      </c>
    </row>
    <row r="172" spans="1:6" hidden="1">
      <c r="A172" t="str">
        <f t="shared" si="3"/>
        <v>Launceston 22</v>
      </c>
      <c r="B172" s="100">
        <f>+Echuca!B63</f>
        <v>328070</v>
      </c>
      <c r="C172" s="100" t="s">
        <v>218</v>
      </c>
      <c r="D172" s="100">
        <f>+Echuca!D63</f>
        <v>6460</v>
      </c>
      <c r="E172" s="100">
        <f>+Echuca!E63</f>
        <v>3770</v>
      </c>
      <c r="F172">
        <v>5000</v>
      </c>
    </row>
    <row r="173" spans="1:6" hidden="1">
      <c r="A173" t="str">
        <f t="shared" si="3"/>
        <v>Launceston 24</v>
      </c>
      <c r="B173" s="100">
        <f>+Echuca!B64</f>
        <v>345030</v>
      </c>
      <c r="C173" s="100" t="s">
        <v>218</v>
      </c>
      <c r="D173" s="100">
        <f>+Echuca!D64</f>
        <v>7805</v>
      </c>
      <c r="E173" s="100">
        <f>+Echuca!E64</f>
        <v>4160</v>
      </c>
      <c r="F173">
        <v>5000</v>
      </c>
    </row>
    <row r="174" spans="1:6" hidden="1">
      <c r="A174" t="str">
        <f t="shared" si="3"/>
        <v>Manly 20</v>
      </c>
      <c r="B174" s="100">
        <f>+Echuca!B65</f>
        <v>306470</v>
      </c>
      <c r="C174" s="100" t="s">
        <v>218</v>
      </c>
      <c r="D174" s="100">
        <f>+Echuca!D65</f>
        <v>7230</v>
      </c>
      <c r="E174" s="100">
        <f>+Echuca!E65</f>
        <v>2495</v>
      </c>
      <c r="F174">
        <v>5000</v>
      </c>
    </row>
    <row r="175" spans="1:6" hidden="1">
      <c r="A175" t="str">
        <f t="shared" si="3"/>
        <v>Manly 22</v>
      </c>
      <c r="B175" s="100">
        <f>+Echuca!B66</f>
        <v>326490</v>
      </c>
      <c r="C175" s="100" t="s">
        <v>218</v>
      </c>
      <c r="D175" s="100">
        <f>+Echuca!D66</f>
        <v>9190</v>
      </c>
      <c r="E175" s="100">
        <f>+Echuca!E66</f>
        <v>2505</v>
      </c>
      <c r="F175">
        <v>5000</v>
      </c>
    </row>
    <row r="176" spans="1:6" hidden="1">
      <c r="A176" t="str">
        <f t="shared" si="3"/>
        <v>Manly 24</v>
      </c>
      <c r="B176" s="100">
        <f>+Echuca!B67</f>
        <v>339540</v>
      </c>
      <c r="C176" s="100" t="s">
        <v>218</v>
      </c>
      <c r="D176" s="100">
        <f>+Echuca!D67</f>
        <v>8965</v>
      </c>
      <c r="E176" s="100">
        <f>+Echuca!E67</f>
        <v>3200</v>
      </c>
      <c r="F176">
        <v>5000</v>
      </c>
    </row>
    <row r="177" spans="1:6" hidden="1">
      <c r="A177" t="str">
        <f t="shared" si="3"/>
        <v>Manly 25</v>
      </c>
      <c r="B177" s="100">
        <f>+Echuca!B68</f>
        <v>349560</v>
      </c>
      <c r="C177" s="100" t="s">
        <v>218</v>
      </c>
      <c r="D177" s="100">
        <f>+Echuca!D68</f>
        <v>8900</v>
      </c>
      <c r="E177" s="100">
        <f>+Echuca!E68</f>
        <v>3995</v>
      </c>
      <c r="F177">
        <v>5000</v>
      </c>
    </row>
    <row r="178" spans="1:6" hidden="1">
      <c r="A178" t="str">
        <f t="shared" si="3"/>
        <v>Manly 30</v>
      </c>
      <c r="B178" s="100">
        <f>+Echuca!B69</f>
        <v>381560</v>
      </c>
      <c r="C178" s="100" t="s">
        <v>218</v>
      </c>
      <c r="D178" s="100">
        <f>+Echuca!D69</f>
        <v>10705</v>
      </c>
      <c r="E178" s="100">
        <f>+Echuca!E69</f>
        <v>4775</v>
      </c>
      <c r="F178">
        <v>5000</v>
      </c>
    </row>
    <row r="179" spans="1:6" hidden="1">
      <c r="A179" t="str">
        <f t="shared" si="3"/>
        <v>Manly 36</v>
      </c>
      <c r="B179" s="100">
        <f>+Echuca!B70</f>
        <v>426420</v>
      </c>
      <c r="C179" s="100" t="s">
        <v>218</v>
      </c>
      <c r="D179" s="100">
        <f>+Echuca!D70</f>
        <v>14600</v>
      </c>
      <c r="E179" s="100">
        <f>+Echuca!E70</f>
        <v>5595</v>
      </c>
      <c r="F179">
        <v>5000</v>
      </c>
    </row>
    <row r="180" spans="1:6" hidden="1">
      <c r="A180" t="str">
        <f t="shared" si="3"/>
        <v>Parkdale 24</v>
      </c>
      <c r="B180" s="100">
        <f>+Echuca!B71</f>
        <v>335420</v>
      </c>
      <c r="C180" s="100" t="s">
        <v>218</v>
      </c>
      <c r="D180" s="100">
        <f>+Echuca!D71</f>
        <v>8190</v>
      </c>
      <c r="E180" s="100">
        <f>+Echuca!E71</f>
        <v>3825</v>
      </c>
      <c r="F180">
        <v>5000</v>
      </c>
    </row>
    <row r="181" spans="1:6" hidden="1">
      <c r="A181" t="str">
        <f t="shared" si="3"/>
        <v>Parkdale 30</v>
      </c>
      <c r="B181" s="100">
        <f>+Echuca!B72</f>
        <v>383540</v>
      </c>
      <c r="C181" s="100" t="s">
        <v>218</v>
      </c>
      <c r="D181" s="100">
        <f>+Echuca!D72</f>
        <v>9250</v>
      </c>
      <c r="E181" s="100">
        <f>+Echuca!E72</f>
        <v>4660</v>
      </c>
      <c r="F181">
        <v>5000</v>
      </c>
    </row>
    <row r="182" spans="1:6" hidden="1">
      <c r="A182" t="str">
        <f t="shared" si="3"/>
        <v>Parkdale 33</v>
      </c>
      <c r="B182" s="100">
        <f>+Echuca!B73</f>
        <v>415570</v>
      </c>
      <c r="C182" s="100" t="s">
        <v>218</v>
      </c>
      <c r="D182" s="100">
        <f>+Echuca!D73</f>
        <v>9090</v>
      </c>
      <c r="E182" s="100">
        <f>+Echuca!E73</f>
        <v>6920</v>
      </c>
      <c r="F182">
        <v>5000</v>
      </c>
    </row>
    <row r="183" spans="1:6" hidden="1">
      <c r="A183" t="str">
        <f t="shared" si="3"/>
        <v>Parkview 24 - 3 Bed</v>
      </c>
      <c r="B183" s="100">
        <f>+Echuca!B74</f>
        <v>334110</v>
      </c>
      <c r="C183" s="100" t="s">
        <v>218</v>
      </c>
      <c r="D183" s="100">
        <f>+Echuca!D74</f>
        <v>7430</v>
      </c>
      <c r="E183" s="100">
        <f>+Echuca!E74</f>
        <v>4075</v>
      </c>
      <c r="F183">
        <v>5000</v>
      </c>
    </row>
    <row r="184" spans="1:6" hidden="1">
      <c r="A184" t="str">
        <f t="shared" si="3"/>
        <v>Parkview 24 - 4 Bed</v>
      </c>
      <c r="B184" s="100">
        <f>+Echuca!B75</f>
        <v>338080</v>
      </c>
      <c r="C184" s="100" t="s">
        <v>218</v>
      </c>
      <c r="D184" s="100">
        <f>+Echuca!D75</f>
        <v>7340</v>
      </c>
      <c r="E184" s="100">
        <f>+Echuca!E75</f>
        <v>4825</v>
      </c>
      <c r="F184">
        <v>5000</v>
      </c>
    </row>
    <row r="185" spans="1:6" hidden="1">
      <c r="A185" t="str">
        <f t="shared" si="3"/>
        <v>Parkview 26</v>
      </c>
      <c r="B185" s="100">
        <f>+Echuca!B76</f>
        <v>357510</v>
      </c>
      <c r="C185" s="100" t="s">
        <v>218</v>
      </c>
      <c r="D185" s="100">
        <f>+Echuca!D76</f>
        <v>8445</v>
      </c>
      <c r="E185" s="100">
        <f>+Echuca!E76</f>
        <v>4355</v>
      </c>
      <c r="F185">
        <v>5000</v>
      </c>
    </row>
    <row r="186" spans="1:6" hidden="1">
      <c r="A186" t="str">
        <f t="shared" si="3"/>
        <v>Parkview 28</v>
      </c>
      <c r="B186" s="100">
        <f>+Echuca!B77</f>
        <v>370310</v>
      </c>
      <c r="C186" s="100" t="s">
        <v>218</v>
      </c>
      <c r="D186" s="100">
        <f>+Echuca!D77</f>
        <v>8920</v>
      </c>
      <c r="E186" s="100">
        <f>+Echuca!E77</f>
        <v>5110</v>
      </c>
      <c r="F186">
        <v>5000</v>
      </c>
    </row>
    <row r="187" spans="1:6" hidden="1">
      <c r="A187" t="str">
        <f t="shared" si="3"/>
        <v>Parkview 30</v>
      </c>
      <c r="B187" s="100">
        <f>+Echuca!B78</f>
        <v>382900</v>
      </c>
      <c r="C187" s="100" t="s">
        <v>218</v>
      </c>
      <c r="D187" s="100">
        <f>+Echuca!D78</f>
        <v>8200</v>
      </c>
      <c r="E187" s="100">
        <f>+Echuca!E78</f>
        <v>5700</v>
      </c>
      <c r="F187">
        <v>5000</v>
      </c>
    </row>
    <row r="188" spans="1:6" hidden="1">
      <c r="A188" t="str">
        <f t="shared" si="3"/>
        <v>Parkview 31</v>
      </c>
      <c r="B188" s="100">
        <f>+Echuca!B79</f>
        <v>387470</v>
      </c>
      <c r="C188" s="100" t="s">
        <v>218</v>
      </c>
      <c r="D188" s="100">
        <f>+Echuca!D79</f>
        <v>8380</v>
      </c>
      <c r="E188" s="100">
        <f>+Echuca!E79</f>
        <v>5750</v>
      </c>
      <c r="F188">
        <v>5000</v>
      </c>
    </row>
    <row r="189" spans="1:6" hidden="1">
      <c r="A189" t="str">
        <f t="shared" si="3"/>
        <v>Santa Barbara 20</v>
      </c>
      <c r="B189" s="100">
        <f>+Echuca!B80</f>
        <v>302130</v>
      </c>
      <c r="C189" s="100" t="s">
        <v>218</v>
      </c>
      <c r="D189" s="100">
        <f>+Echuca!D80</f>
        <v>6200</v>
      </c>
      <c r="E189" s="100">
        <f>+Echuca!E80</f>
        <v>3795</v>
      </c>
      <c r="F189">
        <v>5000</v>
      </c>
    </row>
    <row r="190" spans="1:6" hidden="1">
      <c r="A190" t="str">
        <f t="shared" si="3"/>
        <v>Santa Barbara 22</v>
      </c>
      <c r="B190" s="100">
        <f>+Echuca!B81</f>
        <v>320080</v>
      </c>
      <c r="C190" s="100" t="s">
        <v>218</v>
      </c>
      <c r="D190" s="100">
        <f>+Echuca!D81</f>
        <v>6800</v>
      </c>
      <c r="E190" s="100">
        <f>+Echuca!E81</f>
        <v>4465</v>
      </c>
      <c r="F190">
        <v>5000</v>
      </c>
    </row>
    <row r="191" spans="1:6" hidden="1">
      <c r="A191" t="str">
        <f t="shared" si="3"/>
        <v>Santa Barbara 25</v>
      </c>
      <c r="B191" s="100">
        <f>+Echuca!B82</f>
        <v>337220</v>
      </c>
      <c r="C191" s="100" t="s">
        <v>218</v>
      </c>
      <c r="D191" s="100">
        <f>+Echuca!D82</f>
        <v>7420</v>
      </c>
      <c r="E191" s="100">
        <f>+Echuca!E82</f>
        <v>5000</v>
      </c>
      <c r="F191">
        <v>5000</v>
      </c>
    </row>
    <row r="192" spans="1:6" hidden="1">
      <c r="A192" t="str">
        <f t="shared" si="3"/>
        <v>Santa Barbara 26</v>
      </c>
      <c r="B192" s="100">
        <f>+Echuca!B83</f>
        <v>353270</v>
      </c>
      <c r="C192" s="100" t="s">
        <v>218</v>
      </c>
      <c r="D192" s="100">
        <f>+Echuca!D83</f>
        <v>7610</v>
      </c>
      <c r="E192" s="100">
        <f>+Echuca!E83</f>
        <v>4700</v>
      </c>
      <c r="F192">
        <v>5000</v>
      </c>
    </row>
    <row r="193" spans="1:6" hidden="1">
      <c r="A193" t="str">
        <f t="shared" si="3"/>
        <v>Inglewood 24</v>
      </c>
      <c r="B193" s="100">
        <f>+Echuca!B95</f>
        <v>337470</v>
      </c>
      <c r="C193" s="100" t="s">
        <v>218</v>
      </c>
      <c r="D193" s="100">
        <f>+Echuca!D95</f>
        <v>6940</v>
      </c>
      <c r="E193" s="100">
        <f>+Echuca!E95</f>
        <v>4270</v>
      </c>
      <c r="F193">
        <v>5000</v>
      </c>
    </row>
    <row r="194" spans="1:6" hidden="1">
      <c r="A194" t="str">
        <f t="shared" si="3"/>
        <v>Inglewood 26</v>
      </c>
      <c r="B194" s="100">
        <f>+Echuca!B96</f>
        <v>362570</v>
      </c>
      <c r="C194" s="100" t="s">
        <v>218</v>
      </c>
      <c r="D194" s="100">
        <f>+Echuca!D96</f>
        <v>7615</v>
      </c>
      <c r="E194" s="100">
        <f>+Echuca!E96</f>
        <v>4880</v>
      </c>
      <c r="F194">
        <v>5000</v>
      </c>
    </row>
    <row r="195" spans="1:6" hidden="1">
      <c r="A195" t="str">
        <f t="shared" si="3"/>
        <v>Inglewood 29</v>
      </c>
      <c r="B195" s="100">
        <f>+Echuca!B97</f>
        <v>382290</v>
      </c>
      <c r="C195" s="100" t="s">
        <v>218</v>
      </c>
      <c r="D195" s="100">
        <f>+Echuca!D97</f>
        <v>8615</v>
      </c>
      <c r="E195" s="100">
        <f>+Echuca!E97</f>
        <v>5340</v>
      </c>
      <c r="F195">
        <v>5000</v>
      </c>
    </row>
    <row r="196" spans="1:6" hidden="1">
      <c r="A196" t="str">
        <f t="shared" si="3"/>
        <v>Inglewood 31</v>
      </c>
      <c r="B196" s="100">
        <f>+Echuca!B98</f>
        <v>400470</v>
      </c>
      <c r="C196" s="100" t="s">
        <v>218</v>
      </c>
      <c r="D196" s="100">
        <f>+Echuca!D98</f>
        <v>8515</v>
      </c>
      <c r="E196" s="100">
        <f>+Echuca!E98</f>
        <v>6025</v>
      </c>
      <c r="F196">
        <v>5000</v>
      </c>
    </row>
    <row r="197" spans="1:6" hidden="1">
      <c r="A197" t="str">
        <f t="shared" si="3"/>
        <v>Inglewood 34</v>
      </c>
      <c r="B197" s="100">
        <f>+Echuca!B99</f>
        <v>419670</v>
      </c>
      <c r="C197" s="100" t="s">
        <v>218</v>
      </c>
      <c r="D197" s="100">
        <f>+Echuca!D99</f>
        <v>9045</v>
      </c>
      <c r="E197" s="100">
        <f>+Echuca!E99</f>
        <v>7265</v>
      </c>
      <c r="F197">
        <v>5000</v>
      </c>
    </row>
    <row r="198" spans="1:6" hidden="1">
      <c r="A198" t="str">
        <f t="shared" si="3"/>
        <v>Inglewood 35</v>
      </c>
      <c r="B198" s="100">
        <f>+Echuca!B100</f>
        <v>438790</v>
      </c>
      <c r="C198" s="100" t="s">
        <v>218</v>
      </c>
      <c r="D198" s="100">
        <f>+Echuca!D100</f>
        <v>9030</v>
      </c>
      <c r="E198" s="100">
        <f>+Echuca!E100</f>
        <v>7055</v>
      </c>
      <c r="F198">
        <v>5000</v>
      </c>
    </row>
    <row r="199" spans="1:6">
      <c r="A199" t="str">
        <f t="shared" si="3"/>
        <v>Inglewood 38</v>
      </c>
      <c r="B199" s="100">
        <f>+Echuca!B101</f>
        <v>456430</v>
      </c>
      <c r="C199" s="100" t="s">
        <v>218</v>
      </c>
      <c r="D199" s="100">
        <f>+Echuca!D101</f>
        <v>9185</v>
      </c>
      <c r="E199" s="100">
        <f>+Echuca!E101</f>
        <v>7570</v>
      </c>
      <c r="F199">
        <v>5000</v>
      </c>
    </row>
    <row r="200" spans="1:6" hidden="1">
      <c r="A200" t="str">
        <f t="shared" si="3"/>
        <v>Maldon 23</v>
      </c>
      <c r="B200" s="100">
        <f>+Echuca!B102</f>
        <v>326350</v>
      </c>
      <c r="C200" s="100" t="s">
        <v>218</v>
      </c>
      <c r="D200" s="100">
        <f>+Echuca!D102</f>
        <v>7165</v>
      </c>
      <c r="E200" s="100">
        <f>+Echuca!E102</f>
        <v>3960</v>
      </c>
      <c r="F200">
        <v>5000</v>
      </c>
    </row>
    <row r="201" spans="1:6" hidden="1">
      <c r="A201" t="str">
        <f t="shared" si="3"/>
        <v>Maldon 27</v>
      </c>
      <c r="B201" s="100">
        <f>+Echuca!B103</f>
        <v>365510</v>
      </c>
      <c r="C201" s="100" t="s">
        <v>218</v>
      </c>
      <c r="D201" s="100">
        <f>+Echuca!D103</f>
        <v>8585</v>
      </c>
      <c r="E201" s="100">
        <f>+Echuca!E103</f>
        <v>4615</v>
      </c>
      <c r="F201">
        <v>5000</v>
      </c>
    </row>
    <row r="202" spans="1:6" hidden="1">
      <c r="A202" t="str">
        <f t="shared" ref="A202:A203" si="4">+A87</f>
        <v>Maldon 33</v>
      </c>
      <c r="B202" s="100">
        <f>+Echuca!B104</f>
        <v>426440</v>
      </c>
      <c r="C202" s="100" t="s">
        <v>218</v>
      </c>
      <c r="D202" s="100">
        <f>+Echuca!D104</f>
        <v>10300</v>
      </c>
      <c r="E202" s="100">
        <f>+Echuca!E104</f>
        <v>5940</v>
      </c>
      <c r="F202">
        <v>5000</v>
      </c>
    </row>
    <row r="203" spans="1:6" hidden="1">
      <c r="A203" t="str">
        <f t="shared" si="4"/>
        <v>Palmerston 28</v>
      </c>
      <c r="B203" s="100">
        <f>+Echuca!B105</f>
        <v>373590</v>
      </c>
      <c r="C203" s="100" t="s">
        <v>218</v>
      </c>
      <c r="D203" s="100">
        <f>+Echuca!D105</f>
        <v>7965</v>
      </c>
      <c r="E203" s="100">
        <f>+Echuca!E105</f>
        <v>5120</v>
      </c>
      <c r="F203">
        <v>5000</v>
      </c>
    </row>
    <row r="204" spans="1:6" hidden="1">
      <c r="A204" t="str">
        <f t="shared" ref="A204:A208" si="5">+A89</f>
        <v>Palmerston 35</v>
      </c>
      <c r="B204" s="100">
        <f>+Echuca!B106</f>
        <v>425710</v>
      </c>
      <c r="C204" s="100" t="s">
        <v>218</v>
      </c>
      <c r="D204" s="100">
        <f>+Echuca!D106</f>
        <v>9655</v>
      </c>
      <c r="E204" s="100">
        <f>+Echuca!E106</f>
        <v>7630</v>
      </c>
      <c r="F204">
        <v>5000</v>
      </c>
    </row>
    <row r="205" spans="1:6" hidden="1">
      <c r="A205" t="str">
        <f t="shared" si="5"/>
        <v>Sandown 23</v>
      </c>
      <c r="B205" s="100">
        <f>+Echuca!B107</f>
        <v>334300</v>
      </c>
      <c r="C205" s="100" t="s">
        <v>218</v>
      </c>
      <c r="D205" s="100">
        <f>+Echuca!D107</f>
        <v>7335</v>
      </c>
      <c r="E205" s="100">
        <f>+Echuca!E107</f>
        <v>3760</v>
      </c>
      <c r="F205">
        <v>5000</v>
      </c>
    </row>
    <row r="206" spans="1:6" hidden="1">
      <c r="A206" t="str">
        <f t="shared" si="5"/>
        <v>Sandown 26</v>
      </c>
      <c r="B206" s="100">
        <f>+Echuca!B108</f>
        <v>366960</v>
      </c>
      <c r="C206" s="100" t="s">
        <v>218</v>
      </c>
      <c r="D206" s="100">
        <f>+Echuca!D108</f>
        <v>8025</v>
      </c>
      <c r="E206" s="100">
        <f>+Echuca!E108</f>
        <v>4720</v>
      </c>
      <c r="F206">
        <v>5000</v>
      </c>
    </row>
    <row r="207" spans="1:6" hidden="1">
      <c r="A207" t="str">
        <f t="shared" si="5"/>
        <v>Sandown 28 (30)</v>
      </c>
      <c r="B207" s="100">
        <f>+Echuca!B109</f>
        <v>389920</v>
      </c>
      <c r="C207" s="100" t="s">
        <v>218</v>
      </c>
      <c r="D207" s="100">
        <f>+Echuca!D109</f>
        <v>9030</v>
      </c>
      <c r="E207" s="100">
        <f>+Echuca!E109</f>
        <v>6215</v>
      </c>
      <c r="F207">
        <v>5000</v>
      </c>
    </row>
    <row r="208" spans="1:6" hidden="1">
      <c r="A208" t="str">
        <f t="shared" si="5"/>
        <v>Sandown 32</v>
      </c>
      <c r="B208" s="100">
        <f>+Echuca!B110</f>
        <v>400490</v>
      </c>
      <c r="C208" s="100" t="s">
        <v>218</v>
      </c>
      <c r="D208" s="100">
        <f>+Echuca!D110</f>
        <v>8615</v>
      </c>
      <c r="E208" s="100">
        <f>+Echuca!E110</f>
        <v>6140</v>
      </c>
      <c r="F208">
        <v>5000</v>
      </c>
    </row>
    <row r="209" spans="1:6" hidden="1">
      <c r="A209" t="str">
        <f>+A94</f>
        <v>Sandown 34 MG</v>
      </c>
      <c r="B209" s="100">
        <f>+Echuca!B111</f>
        <v>435190</v>
      </c>
      <c r="C209" s="100" t="s">
        <v>218</v>
      </c>
      <c r="D209" s="100">
        <f>+Echuca!D111</f>
        <v>9555</v>
      </c>
      <c r="E209" s="100">
        <f>+Echuca!E111</f>
        <v>5615</v>
      </c>
      <c r="F209">
        <v>5000</v>
      </c>
    </row>
    <row r="210" spans="1:6" hidden="1">
      <c r="A210" t="str">
        <f>+A95</f>
        <v>Sandown 40 MG</v>
      </c>
      <c r="B210" s="100">
        <f>+Echuca!B112</f>
        <v>490080</v>
      </c>
      <c r="C210" s="100" t="s">
        <v>218</v>
      </c>
      <c r="D210" s="100">
        <f>+Echuca!D112</f>
        <v>8710</v>
      </c>
      <c r="E210" s="100">
        <f>+Echuca!E112</f>
        <v>8980</v>
      </c>
      <c r="F210">
        <v>5000</v>
      </c>
    </row>
    <row r="211" spans="1:6" hidden="1">
      <c r="A211" t="str">
        <f>+A96</f>
        <v>Sandown 41 MG</v>
      </c>
      <c r="B211" s="100">
        <f>+Echuca!B113</f>
        <v>487870</v>
      </c>
      <c r="C211" s="100" t="s">
        <v>218</v>
      </c>
      <c r="D211" s="100">
        <f>+Echuca!D113</f>
        <v>9830</v>
      </c>
      <c r="E211" s="100">
        <f>+Echuca!E113</f>
        <v>8155</v>
      </c>
      <c r="F211">
        <v>5000</v>
      </c>
    </row>
    <row r="212" spans="1:6" hidden="1">
      <c r="A212" t="str">
        <f t="shared" ref="A212:A226" si="6">+A97</f>
        <v>Winton 24</v>
      </c>
      <c r="B212" s="100">
        <f>+Echuca!B114</f>
        <v>340780</v>
      </c>
      <c r="C212" s="100" t="s">
        <v>218</v>
      </c>
      <c r="D212" s="100">
        <f>+Echuca!D114</f>
        <v>7785</v>
      </c>
      <c r="E212" s="100">
        <f>+Echuca!E114</f>
        <v>3690</v>
      </c>
      <c r="F212">
        <v>5000</v>
      </c>
    </row>
    <row r="213" spans="1:6" hidden="1">
      <c r="A213" t="str">
        <f t="shared" si="6"/>
        <v>Winton 28</v>
      </c>
      <c r="B213" s="100">
        <f>+Echuca!B115</f>
        <v>377400</v>
      </c>
      <c r="C213" s="100" t="s">
        <v>218</v>
      </c>
      <c r="D213" s="100">
        <f>+Echuca!D115</f>
        <v>8685</v>
      </c>
      <c r="E213" s="100">
        <f>+Echuca!E115</f>
        <v>5230</v>
      </c>
      <c r="F213">
        <v>5000</v>
      </c>
    </row>
    <row r="214" spans="1:6" hidden="1">
      <c r="A214" t="str">
        <f t="shared" si="6"/>
        <v>Winton 32</v>
      </c>
      <c r="B214" s="100">
        <f>+Echuca!B116</f>
        <v>420700</v>
      </c>
      <c r="C214" s="100" t="s">
        <v>218</v>
      </c>
      <c r="D214" s="100">
        <f>+Echuca!D116</f>
        <v>10365</v>
      </c>
      <c r="E214" s="100">
        <f>+Echuca!E116</f>
        <v>6480</v>
      </c>
      <c r="F214">
        <v>5000</v>
      </c>
    </row>
    <row r="215" spans="1:6" hidden="1">
      <c r="A215" t="str">
        <f t="shared" si="6"/>
        <v>Albany 17</v>
      </c>
      <c r="B215" s="100">
        <f>+Echuca!B132</f>
        <v>294890</v>
      </c>
      <c r="C215" s="100" t="s">
        <v>218</v>
      </c>
      <c r="D215" s="100">
        <f>+Echuca!D132</f>
        <v>6020</v>
      </c>
      <c r="E215" s="100">
        <f>+Echuca!E132</f>
        <v>2420</v>
      </c>
      <c r="F215">
        <v>5000</v>
      </c>
    </row>
    <row r="216" spans="1:6" hidden="1">
      <c r="A216" t="str">
        <f t="shared" si="6"/>
        <v>Albany 18</v>
      </c>
      <c r="B216" s="100">
        <f>+Echuca!B133</f>
        <v>306890</v>
      </c>
      <c r="C216" s="100" t="s">
        <v>218</v>
      </c>
      <c r="D216" s="100">
        <f>+Echuca!D133</f>
        <v>6020</v>
      </c>
      <c r="E216" s="100">
        <f>+Echuca!E133</f>
        <v>2420</v>
      </c>
      <c r="F216">
        <v>5000</v>
      </c>
    </row>
    <row r="217" spans="1:6" hidden="1">
      <c r="A217" t="str">
        <f t="shared" si="6"/>
        <v>Albany 20</v>
      </c>
      <c r="B217" s="100">
        <f>+Echuca!B134</f>
        <v>313870</v>
      </c>
      <c r="C217" s="100" t="s">
        <v>218</v>
      </c>
      <c r="D217" s="100">
        <f>+Echuca!D134</f>
        <v>6985</v>
      </c>
      <c r="E217" s="100">
        <f>+Echuca!E134</f>
        <v>2415</v>
      </c>
      <c r="F217">
        <v>5000</v>
      </c>
    </row>
    <row r="218" spans="1:6" hidden="1">
      <c r="A218" t="str">
        <f t="shared" si="6"/>
        <v>Avoca 16</v>
      </c>
      <c r="B218" s="100">
        <f>+Echuca!B135</f>
        <v>290320</v>
      </c>
      <c r="C218" s="100" t="s">
        <v>218</v>
      </c>
      <c r="D218" s="100">
        <f>+Echuca!D135</f>
        <v>5860</v>
      </c>
      <c r="E218" s="100">
        <f>+Echuca!E135</f>
        <v>2565</v>
      </c>
      <c r="F218">
        <v>5000</v>
      </c>
    </row>
    <row r="219" spans="1:6" hidden="1">
      <c r="A219" t="str">
        <f t="shared" si="6"/>
        <v>Avoca 19</v>
      </c>
      <c r="B219" s="100">
        <f>+Echuca!B136</f>
        <v>311010</v>
      </c>
      <c r="C219" s="100" t="s">
        <v>218</v>
      </c>
      <c r="D219" s="100">
        <f>+Echuca!D136</f>
        <v>6355</v>
      </c>
      <c r="E219" s="100">
        <f>+Echuca!E136</f>
        <v>3230</v>
      </c>
      <c r="F219">
        <v>5000</v>
      </c>
    </row>
    <row r="220" spans="1:6" hidden="1">
      <c r="A220" t="str">
        <f t="shared" si="6"/>
        <v>Avoca 20</v>
      </c>
      <c r="B220" s="100">
        <f>+Echuca!B137</f>
        <v>314660</v>
      </c>
      <c r="C220" s="100" t="s">
        <v>218</v>
      </c>
      <c r="D220" s="100">
        <f>+Echuca!D137</f>
        <v>5905</v>
      </c>
      <c r="E220" s="100">
        <f>+Echuca!E137</f>
        <v>3835</v>
      </c>
      <c r="F220">
        <v>5000</v>
      </c>
    </row>
    <row r="221" spans="1:6" hidden="1">
      <c r="A221" t="str">
        <f t="shared" si="6"/>
        <v>Belinda 16</v>
      </c>
      <c r="B221" s="100">
        <f>+Echuca!B138</f>
        <v>258640</v>
      </c>
      <c r="C221" s="100" t="s">
        <v>218</v>
      </c>
      <c r="D221" s="100">
        <f>+Echuca!D138</f>
        <v>5865</v>
      </c>
      <c r="E221" s="100">
        <f>+Echuca!E138</f>
        <v>2700</v>
      </c>
      <c r="F221">
        <v>5000</v>
      </c>
    </row>
    <row r="222" spans="1:6" hidden="1">
      <c r="A222" t="str">
        <f t="shared" si="6"/>
        <v>Belinda 18</v>
      </c>
      <c r="B222" s="100">
        <f>+Echuca!B139</f>
        <v>292770</v>
      </c>
      <c r="C222" s="100" t="s">
        <v>218</v>
      </c>
      <c r="D222" s="100">
        <f>+Echuca!D139</f>
        <v>6770</v>
      </c>
      <c r="E222" s="100">
        <f>+Echuca!E139</f>
        <v>2660</v>
      </c>
      <c r="F222">
        <v>5000</v>
      </c>
    </row>
    <row r="223" spans="1:6" hidden="1">
      <c r="A223" t="str">
        <f t="shared" si="6"/>
        <v>Belinda 20</v>
      </c>
      <c r="B223" s="100">
        <f>+Echuca!B140</f>
        <v>308240</v>
      </c>
      <c r="C223" s="100" t="s">
        <v>218</v>
      </c>
      <c r="D223" s="100">
        <f>+Echuca!D140</f>
        <v>7355</v>
      </c>
      <c r="E223" s="100">
        <f>+Echuca!E140</f>
        <v>3320</v>
      </c>
      <c r="F223">
        <v>5000</v>
      </c>
    </row>
    <row r="224" spans="1:6" hidden="1">
      <c r="A224" t="str">
        <f t="shared" si="6"/>
        <v>Fairfield 18</v>
      </c>
      <c r="B224" s="100">
        <f>+Echuca!B141</f>
        <v>304270</v>
      </c>
      <c r="C224" s="100" t="s">
        <v>218</v>
      </c>
      <c r="D224" s="100">
        <f>+Echuca!D141</f>
        <v>6715</v>
      </c>
      <c r="E224" s="100">
        <f>+Echuca!E141</f>
        <v>2760</v>
      </c>
      <c r="F224">
        <v>5000</v>
      </c>
    </row>
    <row r="225" spans="1:6" hidden="1">
      <c r="A225" t="str">
        <f t="shared" si="6"/>
        <v>Fairfield 19</v>
      </c>
      <c r="B225" s="100">
        <f>+Echuca!B142</f>
        <v>307350</v>
      </c>
      <c r="C225" s="100" t="s">
        <v>218</v>
      </c>
      <c r="D225" s="100">
        <f>+Echuca!D142</f>
        <v>6790</v>
      </c>
      <c r="E225" s="100">
        <f>+Echuca!E142</f>
        <v>3010</v>
      </c>
      <c r="F225">
        <v>5000</v>
      </c>
    </row>
    <row r="226" spans="1:6" hidden="1">
      <c r="A226" t="str">
        <f t="shared" si="6"/>
        <v>Fairfield 20</v>
      </c>
      <c r="B226" s="100">
        <f>+Echuca!B143</f>
        <v>319970</v>
      </c>
      <c r="C226" s="100" t="s">
        <v>218</v>
      </c>
      <c r="D226" s="100">
        <f>+Echuca!D143</f>
        <v>6995</v>
      </c>
      <c r="E226" s="100">
        <f>+Echuca!E143</f>
        <v>3110</v>
      </c>
      <c r="F226">
        <v>5000</v>
      </c>
    </row>
    <row r="227" spans="1:6" hidden="1">
      <c r="A227" t="str">
        <f t="shared" ref="A227:A237" si="7">+A112</f>
        <v>Melrose 19</v>
      </c>
      <c r="B227" s="100">
        <f>+Echuca!B145</f>
        <v>298760</v>
      </c>
      <c r="C227" s="100" t="s">
        <v>218</v>
      </c>
      <c r="D227" s="100">
        <f>+Echuca!D145</f>
        <v>5775</v>
      </c>
      <c r="E227" s="100">
        <f>+Echuca!E145</f>
        <v>2875</v>
      </c>
      <c r="F227">
        <v>5000</v>
      </c>
    </row>
    <row r="228" spans="1:6" hidden="1">
      <c r="A228" t="str">
        <f t="shared" si="7"/>
        <v>Stratford 16A</v>
      </c>
      <c r="B228" s="100">
        <f>+Echuca!B146</f>
        <v>284000</v>
      </c>
      <c r="C228" s="100" t="s">
        <v>218</v>
      </c>
      <c r="D228" s="100">
        <f>+Echuca!D146</f>
        <v>5785</v>
      </c>
      <c r="E228" s="100">
        <f>+Echuca!E146</f>
        <v>2275</v>
      </c>
      <c r="F228">
        <v>5000</v>
      </c>
    </row>
    <row r="229" spans="1:6" hidden="1">
      <c r="A229" t="str">
        <f t="shared" si="7"/>
        <v>Stratford 16B</v>
      </c>
      <c r="B229" s="100">
        <f>+Echuca!B147</f>
        <v>286950</v>
      </c>
      <c r="C229" s="100" t="s">
        <v>218</v>
      </c>
      <c r="D229" s="100">
        <f>+Echuca!D147</f>
        <v>6405</v>
      </c>
      <c r="E229" s="100">
        <f>+Echuca!E147</f>
        <v>2260</v>
      </c>
      <c r="F229">
        <v>5000</v>
      </c>
    </row>
    <row r="230" spans="1:6" hidden="1">
      <c r="A230" t="str">
        <f t="shared" si="7"/>
        <v>Belmont 22A</v>
      </c>
      <c r="B230" s="100">
        <f>+Echuca!B151</f>
        <v>321840</v>
      </c>
      <c r="C230" s="100" t="s">
        <v>218</v>
      </c>
      <c r="D230" s="100">
        <f>+Echuca!D151</f>
        <v>8070</v>
      </c>
      <c r="E230" s="100">
        <f>+Echuca!E151</f>
        <v>2970</v>
      </c>
      <c r="F230">
        <v>5000</v>
      </c>
    </row>
    <row r="231" spans="1:6" hidden="1">
      <c r="A231" t="str">
        <f t="shared" si="7"/>
        <v>Belmont 22B</v>
      </c>
      <c r="B231" s="100">
        <f>+Echuca!B152</f>
        <v>324510</v>
      </c>
      <c r="C231" s="100" t="s">
        <v>218</v>
      </c>
      <c r="D231" s="100">
        <f>+Echuca!D152</f>
        <v>7140</v>
      </c>
      <c r="E231" s="100">
        <f>+Echuca!E152</f>
        <v>3535</v>
      </c>
      <c r="F231">
        <v>5000</v>
      </c>
    </row>
    <row r="232" spans="1:6" hidden="1">
      <c r="A232" t="str">
        <f t="shared" si="7"/>
        <v>Belmont 24A</v>
      </c>
      <c r="B232" s="100">
        <f>+Echuca!B153</f>
        <v>341590</v>
      </c>
      <c r="C232" s="100" t="s">
        <v>218</v>
      </c>
      <c r="D232" s="100">
        <f>+Echuca!D153</f>
        <v>8545</v>
      </c>
      <c r="E232" s="100">
        <f>+Echuca!E153</f>
        <v>3995</v>
      </c>
      <c r="F232">
        <v>5000</v>
      </c>
    </row>
    <row r="233" spans="1:6" hidden="1">
      <c r="A233" t="str">
        <f t="shared" si="7"/>
        <v>Belmont 24B</v>
      </c>
      <c r="B233" s="100">
        <f>+Echuca!B154</f>
        <v>337800</v>
      </c>
      <c r="C233" s="100" t="s">
        <v>218</v>
      </c>
      <c r="D233" s="100">
        <f>+Echuca!D154</f>
        <v>7820</v>
      </c>
      <c r="E233" s="100">
        <f>+Echuca!E154</f>
        <v>3995</v>
      </c>
      <c r="F233">
        <v>5000</v>
      </c>
    </row>
    <row r="234" spans="1:6" hidden="1">
      <c r="A234" t="str">
        <f t="shared" si="7"/>
        <v>Kiewa 15</v>
      </c>
      <c r="B234" s="100">
        <f>+Echuca!B155</f>
        <v>266880</v>
      </c>
      <c r="C234" s="100" t="s">
        <v>218</v>
      </c>
      <c r="D234" s="100">
        <f>+Echuca!D155</f>
        <v>3270</v>
      </c>
      <c r="E234" s="100">
        <f>+Echuca!E155</f>
        <v>2860</v>
      </c>
      <c r="F234">
        <v>5000</v>
      </c>
    </row>
    <row r="235" spans="1:6" hidden="1">
      <c r="A235" t="str">
        <f t="shared" si="7"/>
        <v>Kiewa 17</v>
      </c>
      <c r="B235" s="100">
        <f>+Echuca!B156</f>
        <v>281620</v>
      </c>
      <c r="C235" s="100" t="s">
        <v>218</v>
      </c>
      <c r="D235" s="100">
        <f>+Echuca!D156</f>
        <v>3485</v>
      </c>
      <c r="E235" s="100">
        <f>+Echuca!E156</f>
        <v>3615</v>
      </c>
      <c r="F235">
        <v>5000</v>
      </c>
    </row>
    <row r="236" spans="1:6" hidden="1">
      <c r="A236" t="str">
        <f t="shared" si="7"/>
        <v>Kiewa 18</v>
      </c>
      <c r="B236" s="100">
        <f>+Echuca!B157</f>
        <v>294960</v>
      </c>
      <c r="C236" s="100" t="s">
        <v>218</v>
      </c>
      <c r="D236" s="100">
        <f>+Echuca!D157</f>
        <v>4265</v>
      </c>
      <c r="E236" s="100">
        <f>+Echuca!E157</f>
        <v>4555</v>
      </c>
      <c r="F236">
        <v>5000</v>
      </c>
    </row>
    <row r="237" spans="1:6" hidden="1">
      <c r="A237" t="str">
        <f t="shared" si="7"/>
        <v>Kiewa 21</v>
      </c>
      <c r="B237" s="100">
        <f>+Echuca!B158</f>
        <v>313510</v>
      </c>
      <c r="C237" s="100" t="s">
        <v>218</v>
      </c>
      <c r="D237" s="100">
        <f>+Echuca!D158</f>
        <v>4510</v>
      </c>
      <c r="E237" s="100">
        <f>+Echuca!E158</f>
        <v>4915</v>
      </c>
      <c r="F237">
        <v>5000</v>
      </c>
    </row>
    <row r="241" spans="1:20">
      <c r="A241" s="100" t="str" cm="1">
        <f t="array" ref="A241">_xlfn.XLOOKUP(B241,B8:B237,A8:A237,xxx,0,1)</f>
        <v>Inglewood 38</v>
      </c>
      <c r="B241" s="100">
        <f>+SUBTOTAL(9,B8:B237)</f>
        <v>456430</v>
      </c>
      <c r="D241" s="100">
        <f>+SUBTOTAL(9,D8:D237)</f>
        <v>9185</v>
      </c>
      <c r="E241" s="100">
        <f>+SUBTOTAL(9,E8:E237)</f>
        <v>7570</v>
      </c>
      <c r="F241" s="100">
        <f>+SUBTOTAL(9,F8:F237)</f>
        <v>5000</v>
      </c>
    </row>
    <row r="245" spans="1:20" s="100" customFormat="1">
      <c r="A245"/>
      <c r="C245"/>
      <c r="E245"/>
      <c r="F245"/>
      <c r="G245"/>
      <c r="H245"/>
      <c r="I245"/>
      <c r="J245"/>
      <c r="K245"/>
      <c r="L245"/>
      <c r="M245"/>
      <c r="N245"/>
      <c r="O245"/>
      <c r="P245"/>
      <c r="Q245"/>
      <c r="R245"/>
      <c r="S245"/>
      <c r="T245"/>
    </row>
    <row r="246" spans="1:20" s="100" customFormat="1">
      <c r="A246"/>
      <c r="C246"/>
      <c r="E246"/>
      <c r="F246"/>
      <c r="G246"/>
      <c r="H246"/>
      <c r="I246"/>
      <c r="J246"/>
      <c r="K246"/>
      <c r="L246"/>
      <c r="M246"/>
      <c r="N246"/>
      <c r="O246"/>
      <c r="P246"/>
      <c r="Q246"/>
      <c r="R246"/>
      <c r="S246"/>
      <c r="T246"/>
    </row>
    <row r="247" spans="1:20" s="100" customFormat="1">
      <c r="A247"/>
      <c r="C247"/>
      <c r="E247"/>
      <c r="F247"/>
      <c r="G247"/>
      <c r="H247"/>
      <c r="I247"/>
      <c r="J247"/>
      <c r="K247"/>
      <c r="L247"/>
      <c r="M247"/>
      <c r="N247"/>
      <c r="O247"/>
      <c r="P247"/>
      <c r="Q247"/>
      <c r="R247"/>
      <c r="S247"/>
      <c r="T247"/>
    </row>
    <row r="248" spans="1:20" s="100" customFormat="1">
      <c r="A248"/>
      <c r="C248"/>
      <c r="E248"/>
      <c r="F248"/>
      <c r="G248"/>
      <c r="H248"/>
      <c r="I248"/>
      <c r="J248"/>
      <c r="K248"/>
      <c r="L248"/>
      <c r="M248"/>
      <c r="N248"/>
      <c r="O248"/>
      <c r="P248"/>
      <c r="Q248"/>
      <c r="R248"/>
      <c r="S248"/>
      <c r="T248"/>
    </row>
    <row r="249" spans="1:20" s="100" customFormat="1">
      <c r="A249"/>
      <c r="C249"/>
      <c r="E249"/>
      <c r="F249"/>
      <c r="G249"/>
      <c r="H249"/>
      <c r="I249"/>
      <c r="J249"/>
      <c r="K249"/>
      <c r="L249"/>
      <c r="M249"/>
      <c r="N249"/>
      <c r="O249"/>
      <c r="P249"/>
      <c r="Q249"/>
      <c r="R249"/>
      <c r="S249"/>
      <c r="T249"/>
    </row>
    <row r="250" spans="1:20" s="100" customFormat="1">
      <c r="A250"/>
      <c r="C250"/>
      <c r="E250"/>
      <c r="F250"/>
      <c r="G250"/>
      <c r="H250"/>
      <c r="I250"/>
      <c r="J250"/>
      <c r="K250"/>
      <c r="L250"/>
      <c r="M250"/>
      <c r="N250"/>
      <c r="O250"/>
      <c r="P250"/>
      <c r="Q250"/>
      <c r="R250"/>
      <c r="S250"/>
      <c r="T250"/>
    </row>
    <row r="251" spans="1:20" s="100" customFormat="1">
      <c r="A251"/>
      <c r="C251"/>
      <c r="E251"/>
      <c r="F251"/>
      <c r="G251"/>
      <c r="H251"/>
      <c r="I251"/>
      <c r="J251"/>
      <c r="K251"/>
      <c r="L251"/>
      <c r="M251"/>
      <c r="N251"/>
      <c r="O251"/>
      <c r="P251"/>
      <c r="Q251"/>
      <c r="R251"/>
      <c r="S251"/>
      <c r="T251"/>
    </row>
    <row r="252" spans="1:20" s="100" customFormat="1">
      <c r="A252"/>
      <c r="C252"/>
      <c r="E252"/>
      <c r="F252"/>
      <c r="G252"/>
      <c r="H252"/>
      <c r="I252"/>
      <c r="J252"/>
      <c r="K252"/>
      <c r="L252"/>
      <c r="M252"/>
      <c r="N252"/>
      <c r="O252"/>
      <c r="P252"/>
      <c r="Q252"/>
      <c r="R252"/>
      <c r="S252"/>
      <c r="T252"/>
    </row>
    <row r="253" spans="1:20" s="100" customFormat="1">
      <c r="A253"/>
      <c r="C253"/>
      <c r="E253"/>
      <c r="F253"/>
      <c r="G253"/>
      <c r="H253"/>
      <c r="I253"/>
      <c r="J253"/>
      <c r="K253"/>
      <c r="L253"/>
      <c r="M253"/>
      <c r="N253"/>
      <c r="O253"/>
      <c r="P253"/>
      <c r="Q253"/>
      <c r="R253"/>
      <c r="S253"/>
      <c r="T253"/>
    </row>
    <row r="254" spans="1:20" s="100" customFormat="1">
      <c r="A254"/>
      <c r="C254"/>
      <c r="E254"/>
      <c r="F254"/>
      <c r="G254"/>
      <c r="H254"/>
      <c r="I254"/>
      <c r="J254"/>
      <c r="K254"/>
      <c r="L254"/>
      <c r="M254"/>
      <c r="N254"/>
      <c r="O254"/>
      <c r="P254"/>
      <c r="Q254"/>
      <c r="R254"/>
      <c r="S254"/>
      <c r="T254"/>
    </row>
    <row r="255" spans="1:20" s="100" customFormat="1">
      <c r="A255"/>
      <c r="C255"/>
      <c r="E255"/>
      <c r="F255"/>
      <c r="G255"/>
      <c r="H255"/>
      <c r="I255"/>
      <c r="J255"/>
      <c r="K255"/>
      <c r="L255"/>
      <c r="M255"/>
      <c r="N255"/>
      <c r="O255"/>
      <c r="P255"/>
      <c r="Q255"/>
      <c r="R255"/>
      <c r="S255"/>
      <c r="T255"/>
    </row>
    <row r="256" spans="1:20" s="100" customFormat="1">
      <c r="A256"/>
      <c r="C256"/>
      <c r="E256"/>
      <c r="F256"/>
      <c r="G256"/>
      <c r="H256"/>
      <c r="I256"/>
      <c r="J256"/>
      <c r="K256"/>
      <c r="L256"/>
      <c r="M256"/>
      <c r="N256"/>
      <c r="O256"/>
      <c r="P256"/>
      <c r="Q256"/>
      <c r="R256"/>
      <c r="S256"/>
      <c r="T256"/>
    </row>
    <row r="257" spans="1:20" s="100" customFormat="1">
      <c r="A257"/>
      <c r="C257"/>
      <c r="E257"/>
      <c r="F257"/>
      <c r="G257"/>
      <c r="H257"/>
      <c r="I257"/>
      <c r="J257"/>
      <c r="K257"/>
      <c r="L257"/>
      <c r="M257"/>
      <c r="N257"/>
      <c r="O257"/>
      <c r="P257"/>
      <c r="Q257"/>
      <c r="R257"/>
      <c r="S257"/>
      <c r="T257"/>
    </row>
    <row r="258" spans="1:20" s="100" customFormat="1">
      <c r="A258"/>
      <c r="C258"/>
      <c r="E258"/>
      <c r="F258"/>
      <c r="G258"/>
      <c r="H258"/>
      <c r="I258"/>
      <c r="J258"/>
      <c r="K258"/>
      <c r="L258"/>
      <c r="M258"/>
      <c r="N258"/>
      <c r="O258"/>
      <c r="P258"/>
      <c r="Q258"/>
      <c r="R258"/>
      <c r="S258"/>
      <c r="T258"/>
    </row>
    <row r="259" spans="1:20" s="100" customFormat="1">
      <c r="A259"/>
      <c r="C259"/>
      <c r="E259"/>
      <c r="F259"/>
      <c r="G259"/>
      <c r="H259"/>
      <c r="I259"/>
      <c r="J259"/>
      <c r="K259"/>
      <c r="L259"/>
      <c r="M259"/>
      <c r="N259"/>
      <c r="O259"/>
      <c r="P259"/>
      <c r="Q259"/>
      <c r="R259"/>
      <c r="S259"/>
      <c r="T259"/>
    </row>
    <row r="260" spans="1:20" s="100" customFormat="1">
      <c r="A260"/>
      <c r="C260"/>
      <c r="E260"/>
      <c r="F260"/>
      <c r="G260"/>
      <c r="H260"/>
      <c r="I260"/>
      <c r="J260"/>
      <c r="K260"/>
      <c r="L260"/>
      <c r="M260"/>
      <c r="N260"/>
      <c r="O260"/>
      <c r="P260"/>
      <c r="Q260"/>
      <c r="R260"/>
      <c r="S260"/>
      <c r="T260"/>
    </row>
    <row r="261" spans="1:20" s="100" customFormat="1">
      <c r="A261"/>
      <c r="C261"/>
      <c r="E261"/>
      <c r="F261"/>
      <c r="G261"/>
      <c r="H261"/>
      <c r="I261"/>
      <c r="J261"/>
      <c r="K261"/>
      <c r="L261"/>
      <c r="M261"/>
      <c r="N261"/>
      <c r="O261"/>
      <c r="P261"/>
      <c r="Q261"/>
      <c r="R261"/>
      <c r="S261"/>
      <c r="T261"/>
    </row>
    <row r="262" spans="1:20" s="100" customFormat="1">
      <c r="A262"/>
      <c r="C262"/>
      <c r="E262"/>
      <c r="F262"/>
      <c r="G262"/>
      <c r="H262"/>
      <c r="I262"/>
      <c r="J262"/>
      <c r="K262"/>
      <c r="L262"/>
      <c r="M262"/>
      <c r="N262"/>
      <c r="O262"/>
      <c r="P262"/>
      <c r="Q262"/>
      <c r="R262"/>
      <c r="S262"/>
      <c r="T262"/>
    </row>
    <row r="263" spans="1:20" s="100" customFormat="1">
      <c r="A263"/>
      <c r="C263"/>
      <c r="E263"/>
      <c r="F263"/>
      <c r="G263"/>
      <c r="H263"/>
      <c r="I263"/>
      <c r="J263"/>
      <c r="K263"/>
      <c r="L263"/>
      <c r="M263"/>
      <c r="N263"/>
      <c r="O263"/>
      <c r="P263"/>
      <c r="Q263"/>
      <c r="R263"/>
      <c r="S263"/>
      <c r="T263"/>
    </row>
    <row r="264" spans="1:20" s="100" customFormat="1">
      <c r="A264"/>
      <c r="C264"/>
      <c r="E264"/>
      <c r="F264"/>
      <c r="G264"/>
      <c r="H264"/>
      <c r="I264"/>
      <c r="J264"/>
      <c r="K264"/>
      <c r="L264"/>
      <c r="M264"/>
      <c r="N264"/>
      <c r="O264"/>
      <c r="P264"/>
      <c r="Q264"/>
      <c r="R264"/>
      <c r="S264"/>
      <c r="T264"/>
    </row>
    <row r="265" spans="1:20" s="100" customFormat="1">
      <c r="A265"/>
      <c r="C265"/>
      <c r="E265"/>
      <c r="F265"/>
      <c r="G265"/>
      <c r="H265"/>
      <c r="I265"/>
      <c r="J265"/>
      <c r="K265"/>
      <c r="L265"/>
      <c r="M265"/>
      <c r="N265"/>
      <c r="O265"/>
      <c r="P265"/>
      <c r="Q265"/>
      <c r="R265"/>
      <c r="S265"/>
      <c r="T265"/>
    </row>
    <row r="266" spans="1:20" s="100" customFormat="1">
      <c r="A266"/>
      <c r="C266"/>
      <c r="E266"/>
      <c r="F266"/>
      <c r="G266"/>
      <c r="H266"/>
      <c r="I266"/>
      <c r="J266"/>
      <c r="K266"/>
      <c r="L266"/>
      <c r="M266"/>
      <c r="N266"/>
      <c r="O266"/>
      <c r="P266"/>
      <c r="Q266"/>
      <c r="R266"/>
      <c r="S266"/>
      <c r="T266"/>
    </row>
    <row r="267" spans="1:20" s="100" customFormat="1">
      <c r="A267"/>
      <c r="C267"/>
      <c r="E267"/>
      <c r="F267"/>
      <c r="G267"/>
      <c r="H267"/>
      <c r="I267"/>
      <c r="J267"/>
      <c r="K267"/>
      <c r="L267"/>
      <c r="M267"/>
      <c r="N267"/>
      <c r="O267"/>
      <c r="P267"/>
      <c r="Q267"/>
      <c r="R267"/>
      <c r="S267"/>
      <c r="T267"/>
    </row>
    <row r="268" spans="1:20" s="100" customFormat="1">
      <c r="A268"/>
      <c r="C268"/>
      <c r="E268"/>
      <c r="F268"/>
      <c r="G268"/>
      <c r="H268"/>
      <c r="I268"/>
      <c r="J268"/>
      <c r="K268"/>
      <c r="L268"/>
      <c r="M268"/>
      <c r="N268"/>
      <c r="O268"/>
      <c r="P268"/>
      <c r="Q268"/>
      <c r="R268"/>
      <c r="S268"/>
      <c r="T268"/>
    </row>
    <row r="269" spans="1:20" s="100" customFormat="1">
      <c r="A269"/>
      <c r="C269"/>
      <c r="E269"/>
      <c r="F269"/>
      <c r="G269"/>
      <c r="H269"/>
      <c r="I269"/>
      <c r="J269"/>
      <c r="K269"/>
      <c r="L269"/>
      <c r="M269"/>
      <c r="N269"/>
      <c r="O269"/>
      <c r="P269"/>
      <c r="Q269"/>
      <c r="R269"/>
      <c r="S269"/>
      <c r="T269"/>
    </row>
    <row r="270" spans="1:20" s="100" customFormat="1">
      <c r="A270"/>
      <c r="C270"/>
      <c r="E270"/>
      <c r="F270"/>
      <c r="G270"/>
      <c r="H270"/>
      <c r="I270"/>
      <c r="J270"/>
      <c r="K270"/>
      <c r="L270"/>
      <c r="M270"/>
      <c r="N270"/>
      <c r="O270"/>
      <c r="P270"/>
      <c r="Q270"/>
      <c r="R270"/>
      <c r="S270"/>
      <c r="T270"/>
    </row>
    <row r="271" spans="1:20" s="100" customFormat="1">
      <c r="A271"/>
      <c r="C271"/>
      <c r="E271"/>
      <c r="F271"/>
      <c r="G271"/>
      <c r="H271"/>
      <c r="I271"/>
      <c r="J271"/>
      <c r="K271"/>
      <c r="L271"/>
      <c r="M271"/>
      <c r="N271"/>
      <c r="O271"/>
      <c r="P271"/>
      <c r="Q271"/>
      <c r="R271"/>
      <c r="S271"/>
      <c r="T271"/>
    </row>
    <row r="272" spans="1:20" s="100" customFormat="1">
      <c r="A272"/>
      <c r="C272"/>
      <c r="E272"/>
      <c r="F272"/>
      <c r="G272"/>
      <c r="H272"/>
      <c r="I272"/>
      <c r="J272"/>
      <c r="K272"/>
      <c r="L272"/>
      <c r="M272"/>
      <c r="N272"/>
      <c r="O272"/>
      <c r="P272"/>
      <c r="Q272"/>
      <c r="R272"/>
      <c r="S272"/>
      <c r="T272"/>
    </row>
    <row r="273" spans="1:20" s="100" customFormat="1">
      <c r="A273"/>
      <c r="C273"/>
      <c r="E273"/>
      <c r="F273"/>
      <c r="G273"/>
      <c r="H273"/>
      <c r="I273"/>
      <c r="J273"/>
      <c r="K273"/>
      <c r="L273"/>
      <c r="M273"/>
      <c r="N273"/>
      <c r="O273"/>
      <c r="P273"/>
      <c r="Q273"/>
      <c r="R273"/>
      <c r="S273"/>
      <c r="T273"/>
    </row>
    <row r="274" spans="1:20" s="100" customFormat="1">
      <c r="A274"/>
      <c r="C274"/>
      <c r="E274"/>
      <c r="F274"/>
      <c r="G274"/>
      <c r="H274"/>
      <c r="I274"/>
      <c r="J274"/>
      <c r="K274"/>
      <c r="L274"/>
      <c r="M274"/>
      <c r="N274"/>
      <c r="O274"/>
      <c r="P274"/>
      <c r="Q274"/>
      <c r="R274"/>
      <c r="S274"/>
      <c r="T274"/>
    </row>
    <row r="275" spans="1:20" s="100" customFormat="1">
      <c r="A275"/>
      <c r="C275"/>
      <c r="E275"/>
      <c r="F275"/>
      <c r="G275"/>
      <c r="H275"/>
      <c r="I275"/>
      <c r="J275"/>
      <c r="K275"/>
      <c r="L275"/>
      <c r="M275"/>
      <c r="N275"/>
      <c r="O275"/>
      <c r="P275"/>
      <c r="Q275"/>
      <c r="R275"/>
      <c r="S275"/>
      <c r="T275"/>
    </row>
    <row r="276" spans="1:20" s="100" customFormat="1">
      <c r="A276"/>
      <c r="C276"/>
      <c r="E276"/>
      <c r="F276"/>
      <c r="G276"/>
      <c r="H276"/>
      <c r="I276"/>
      <c r="J276"/>
      <c r="K276"/>
      <c r="L276"/>
      <c r="M276"/>
      <c r="N276"/>
      <c r="O276"/>
      <c r="P276"/>
      <c r="Q276"/>
      <c r="R276"/>
      <c r="S276"/>
      <c r="T276"/>
    </row>
    <row r="277" spans="1:20" s="100" customFormat="1">
      <c r="A277"/>
      <c r="C277"/>
      <c r="E277"/>
      <c r="F277"/>
      <c r="G277"/>
      <c r="H277"/>
      <c r="I277"/>
      <c r="J277"/>
      <c r="K277"/>
      <c r="L277"/>
      <c r="M277"/>
      <c r="N277"/>
      <c r="O277"/>
      <c r="P277"/>
      <c r="Q277"/>
      <c r="R277"/>
      <c r="S277"/>
      <c r="T277"/>
    </row>
    <row r="278" spans="1:20" s="100" customFormat="1">
      <c r="A278"/>
      <c r="C278"/>
      <c r="E278"/>
      <c r="F278"/>
      <c r="G278"/>
      <c r="H278"/>
      <c r="I278"/>
      <c r="J278"/>
      <c r="K278"/>
      <c r="L278"/>
      <c r="M278"/>
      <c r="N278"/>
      <c r="O278"/>
      <c r="P278"/>
      <c r="Q278"/>
      <c r="R278"/>
      <c r="S278"/>
      <c r="T278"/>
    </row>
    <row r="279" spans="1:20" s="100" customFormat="1">
      <c r="A279"/>
      <c r="C279"/>
      <c r="E279"/>
      <c r="F279"/>
      <c r="G279"/>
      <c r="H279"/>
      <c r="I279"/>
      <c r="J279"/>
      <c r="K279"/>
      <c r="L279"/>
      <c r="M279"/>
      <c r="N279"/>
      <c r="O279"/>
      <c r="P279"/>
      <c r="Q279"/>
      <c r="R279"/>
      <c r="S279"/>
      <c r="T279"/>
    </row>
    <row r="280" spans="1:20" s="100" customFormat="1">
      <c r="A280"/>
      <c r="C280"/>
      <c r="E280"/>
      <c r="F280"/>
      <c r="G280"/>
      <c r="H280"/>
      <c r="I280"/>
      <c r="J280"/>
      <c r="K280"/>
      <c r="L280"/>
      <c r="M280"/>
      <c r="N280"/>
      <c r="O280"/>
      <c r="P280"/>
      <c r="Q280"/>
      <c r="R280"/>
      <c r="S280"/>
      <c r="T280"/>
    </row>
    <row r="281" spans="1:20" s="100" customFormat="1">
      <c r="A281"/>
      <c r="C281"/>
      <c r="E281"/>
      <c r="F281"/>
      <c r="G281"/>
      <c r="H281"/>
      <c r="I281"/>
      <c r="J281"/>
      <c r="K281"/>
      <c r="L281"/>
      <c r="M281"/>
      <c r="N281"/>
      <c r="O281"/>
      <c r="P281"/>
      <c r="Q281"/>
      <c r="R281"/>
      <c r="S281"/>
      <c r="T281"/>
    </row>
    <row r="282" spans="1:20" s="100" customFormat="1">
      <c r="A282"/>
      <c r="C282"/>
      <c r="E282"/>
      <c r="F282"/>
      <c r="G282"/>
      <c r="H282"/>
      <c r="I282"/>
      <c r="J282"/>
      <c r="K282"/>
      <c r="L282"/>
      <c r="M282"/>
      <c r="N282"/>
      <c r="O282"/>
      <c r="P282"/>
      <c r="Q282"/>
      <c r="R282"/>
      <c r="S282"/>
      <c r="T282"/>
    </row>
    <row r="283" spans="1:20" s="100" customFormat="1">
      <c r="A283"/>
      <c r="C283"/>
      <c r="E283"/>
      <c r="F283"/>
      <c r="G283"/>
      <c r="H283"/>
      <c r="I283"/>
      <c r="J283"/>
      <c r="K283"/>
      <c r="L283"/>
      <c r="M283"/>
      <c r="N283"/>
      <c r="O283"/>
      <c r="P283"/>
      <c r="Q283"/>
      <c r="R283"/>
      <c r="S283"/>
      <c r="T283"/>
    </row>
    <row r="284" spans="1:20" s="100" customFormat="1">
      <c r="A284"/>
      <c r="C284"/>
      <c r="E284"/>
      <c r="F284"/>
      <c r="G284"/>
      <c r="H284"/>
      <c r="I284"/>
      <c r="J284"/>
      <c r="K284"/>
      <c r="L284"/>
      <c r="M284"/>
      <c r="N284"/>
      <c r="O284"/>
      <c r="P284"/>
      <c r="Q284"/>
      <c r="R284"/>
      <c r="S284"/>
      <c r="T284"/>
    </row>
    <row r="285" spans="1:20" s="100" customFormat="1">
      <c r="A285"/>
      <c r="C285"/>
      <c r="E285"/>
      <c r="F285"/>
      <c r="G285"/>
      <c r="H285"/>
      <c r="I285"/>
      <c r="J285"/>
      <c r="K285"/>
      <c r="L285"/>
      <c r="M285"/>
      <c r="N285"/>
      <c r="O285"/>
      <c r="P285"/>
      <c r="Q285"/>
      <c r="R285"/>
      <c r="S285"/>
      <c r="T285"/>
    </row>
    <row r="286" spans="1:20" s="100" customFormat="1">
      <c r="A286"/>
      <c r="C286"/>
      <c r="E286"/>
      <c r="F286"/>
      <c r="G286"/>
      <c r="H286"/>
      <c r="I286"/>
      <c r="J286"/>
      <c r="K286"/>
      <c r="L286"/>
      <c r="M286"/>
      <c r="N286"/>
      <c r="O286"/>
      <c r="P286"/>
      <c r="Q286"/>
      <c r="R286"/>
      <c r="S286"/>
      <c r="T286"/>
    </row>
    <row r="287" spans="1:20" s="100" customFormat="1">
      <c r="A287"/>
      <c r="C287"/>
      <c r="E287"/>
      <c r="F287"/>
      <c r="G287"/>
      <c r="H287"/>
      <c r="I287"/>
      <c r="J287"/>
      <c r="K287"/>
      <c r="L287"/>
      <c r="M287"/>
      <c r="N287"/>
      <c r="O287"/>
      <c r="P287"/>
      <c r="Q287"/>
      <c r="R287"/>
      <c r="S287"/>
      <c r="T287"/>
    </row>
    <row r="288" spans="1:20" s="100" customFormat="1">
      <c r="A288"/>
      <c r="C288"/>
      <c r="E288"/>
      <c r="F288"/>
      <c r="G288"/>
      <c r="H288"/>
      <c r="I288"/>
      <c r="J288"/>
      <c r="K288"/>
      <c r="L288"/>
      <c r="M288"/>
      <c r="N288"/>
      <c r="O288"/>
      <c r="P288"/>
      <c r="Q288"/>
      <c r="R288"/>
      <c r="S288"/>
      <c r="T288"/>
    </row>
    <row r="289" spans="1:20" s="100" customFormat="1">
      <c r="A289"/>
      <c r="C289"/>
      <c r="E289"/>
      <c r="F289"/>
      <c r="G289"/>
      <c r="H289"/>
      <c r="I289"/>
      <c r="J289"/>
      <c r="K289"/>
      <c r="L289"/>
      <c r="M289"/>
      <c r="N289"/>
      <c r="O289"/>
      <c r="P289"/>
      <c r="Q289"/>
      <c r="R289"/>
      <c r="S289"/>
      <c r="T289"/>
    </row>
    <row r="290" spans="1:20" s="100" customFormat="1">
      <c r="A290"/>
      <c r="C290"/>
      <c r="E290"/>
      <c r="F290"/>
      <c r="G290"/>
      <c r="H290"/>
      <c r="I290"/>
      <c r="J290"/>
      <c r="K290"/>
      <c r="L290"/>
      <c r="M290"/>
      <c r="N290"/>
      <c r="O290"/>
      <c r="P290"/>
      <c r="Q290"/>
      <c r="R290"/>
      <c r="S290"/>
      <c r="T290"/>
    </row>
    <row r="291" spans="1:20" s="100" customFormat="1">
      <c r="A291"/>
      <c r="C291"/>
      <c r="E291"/>
      <c r="F291"/>
      <c r="G291"/>
      <c r="H291"/>
      <c r="I291"/>
      <c r="J291"/>
      <c r="K291"/>
      <c r="L291"/>
      <c r="M291"/>
      <c r="N291"/>
      <c r="O291"/>
      <c r="P291"/>
      <c r="Q291"/>
      <c r="R291"/>
      <c r="S291"/>
      <c r="T291"/>
    </row>
    <row r="292" spans="1:20" s="100" customFormat="1">
      <c r="A292"/>
      <c r="C292"/>
      <c r="E292"/>
      <c r="F292"/>
      <c r="G292"/>
      <c r="H292"/>
      <c r="I292"/>
      <c r="J292"/>
      <c r="K292"/>
      <c r="L292"/>
      <c r="M292"/>
      <c r="N292"/>
      <c r="O292"/>
      <c r="P292"/>
      <c r="Q292"/>
      <c r="R292"/>
      <c r="S292"/>
      <c r="T292"/>
    </row>
    <row r="293" spans="1:20" s="100" customFormat="1">
      <c r="A293"/>
      <c r="C293"/>
      <c r="E293"/>
      <c r="F293"/>
      <c r="G293"/>
      <c r="H293"/>
      <c r="I293"/>
      <c r="J293"/>
      <c r="K293"/>
      <c r="L293"/>
      <c r="M293"/>
      <c r="N293"/>
      <c r="O293"/>
      <c r="P293"/>
      <c r="Q293"/>
      <c r="R293"/>
      <c r="S293"/>
      <c r="T293"/>
    </row>
    <row r="294" spans="1:20" s="100" customFormat="1">
      <c r="A294"/>
      <c r="C294"/>
      <c r="E294"/>
      <c r="F294"/>
      <c r="G294"/>
      <c r="H294"/>
      <c r="I294"/>
      <c r="J294"/>
      <c r="K294"/>
      <c r="L294"/>
      <c r="M294"/>
      <c r="N294"/>
      <c r="O294"/>
      <c r="P294"/>
      <c r="Q294"/>
      <c r="R294"/>
      <c r="S294"/>
      <c r="T294"/>
    </row>
    <row r="295" spans="1:20" s="100" customFormat="1">
      <c r="A295"/>
      <c r="C295"/>
      <c r="E295"/>
      <c r="F295"/>
      <c r="G295"/>
      <c r="H295"/>
      <c r="I295"/>
      <c r="J295"/>
      <c r="K295"/>
      <c r="L295"/>
      <c r="M295"/>
      <c r="N295"/>
      <c r="O295"/>
      <c r="P295"/>
      <c r="Q295"/>
      <c r="R295"/>
      <c r="S295"/>
      <c r="T295"/>
    </row>
    <row r="296" spans="1:20" s="100" customFormat="1">
      <c r="A296"/>
      <c r="C296"/>
      <c r="E296"/>
      <c r="F296"/>
      <c r="G296"/>
      <c r="H296"/>
      <c r="I296"/>
      <c r="J296"/>
      <c r="K296"/>
      <c r="L296"/>
      <c r="M296"/>
      <c r="N296"/>
      <c r="O296"/>
      <c r="P296"/>
      <c r="Q296"/>
      <c r="R296"/>
      <c r="S296"/>
      <c r="T296"/>
    </row>
    <row r="297" spans="1:20" s="100" customFormat="1">
      <c r="A297"/>
      <c r="C297"/>
      <c r="E297"/>
      <c r="F297"/>
      <c r="G297"/>
      <c r="H297"/>
      <c r="I297"/>
      <c r="J297"/>
      <c r="K297"/>
      <c r="L297"/>
      <c r="M297"/>
      <c r="N297"/>
      <c r="O297"/>
      <c r="P297"/>
      <c r="Q297"/>
      <c r="R297"/>
      <c r="S297"/>
      <c r="T297"/>
    </row>
    <row r="298" spans="1:20" s="100" customFormat="1">
      <c r="A298"/>
      <c r="C298"/>
      <c r="E298"/>
      <c r="F298"/>
      <c r="G298"/>
      <c r="H298"/>
      <c r="I298"/>
      <c r="J298"/>
      <c r="K298"/>
      <c r="L298"/>
      <c r="M298"/>
      <c r="N298"/>
      <c r="O298"/>
      <c r="P298"/>
      <c r="Q298"/>
      <c r="R298"/>
      <c r="S298"/>
      <c r="T298"/>
    </row>
    <row r="299" spans="1:20" s="100" customFormat="1">
      <c r="A299"/>
      <c r="C299"/>
      <c r="E299"/>
      <c r="F299"/>
      <c r="G299"/>
      <c r="H299"/>
      <c r="I299"/>
      <c r="J299"/>
      <c r="K299"/>
      <c r="L299"/>
      <c r="M299"/>
      <c r="N299"/>
      <c r="O299"/>
      <c r="P299"/>
      <c r="Q299"/>
      <c r="R299"/>
      <c r="S299"/>
      <c r="T299"/>
    </row>
    <row r="300" spans="1:20" s="100" customFormat="1">
      <c r="A300"/>
      <c r="C300"/>
      <c r="E300"/>
      <c r="F300"/>
      <c r="G300"/>
      <c r="H300"/>
      <c r="I300"/>
      <c r="J300"/>
      <c r="K300"/>
      <c r="L300"/>
      <c r="M300"/>
      <c r="N300"/>
      <c r="O300"/>
      <c r="P300"/>
      <c r="Q300"/>
      <c r="R300"/>
      <c r="S300"/>
      <c r="T300"/>
    </row>
    <row r="301" spans="1:20" s="100" customFormat="1">
      <c r="A301"/>
      <c r="C301"/>
      <c r="E301"/>
      <c r="F301"/>
      <c r="G301"/>
      <c r="H301"/>
      <c r="I301"/>
      <c r="J301"/>
      <c r="K301"/>
      <c r="L301"/>
      <c r="M301"/>
      <c r="N301"/>
      <c r="O301"/>
      <c r="P301"/>
      <c r="Q301"/>
      <c r="R301"/>
      <c r="S301"/>
      <c r="T301"/>
    </row>
    <row r="302" spans="1:20" s="100" customFormat="1">
      <c r="A302"/>
      <c r="C302"/>
      <c r="E302"/>
      <c r="F302"/>
      <c r="G302"/>
      <c r="H302"/>
      <c r="I302"/>
      <c r="J302"/>
      <c r="K302"/>
      <c r="L302"/>
      <c r="M302"/>
      <c r="N302"/>
      <c r="O302"/>
      <c r="P302"/>
      <c r="Q302"/>
      <c r="R302"/>
      <c r="S302"/>
      <c r="T302"/>
    </row>
    <row r="303" spans="1:20" s="100" customFormat="1">
      <c r="A303"/>
      <c r="C303"/>
      <c r="E303"/>
      <c r="F303"/>
      <c r="G303"/>
      <c r="H303"/>
      <c r="I303"/>
      <c r="J303"/>
      <c r="K303"/>
      <c r="L303"/>
      <c r="M303"/>
      <c r="N303"/>
      <c r="O303"/>
      <c r="P303"/>
      <c r="Q303"/>
      <c r="R303"/>
      <c r="S303"/>
      <c r="T303"/>
    </row>
    <row r="304" spans="1:20" s="100" customFormat="1">
      <c r="A304"/>
      <c r="C304"/>
      <c r="E304"/>
      <c r="F304"/>
      <c r="G304"/>
      <c r="H304"/>
      <c r="I304"/>
      <c r="J304"/>
      <c r="K304"/>
      <c r="L304"/>
      <c r="M304"/>
      <c r="N304"/>
      <c r="O304"/>
      <c r="P304"/>
      <c r="Q304"/>
      <c r="R304"/>
      <c r="S304"/>
      <c r="T304"/>
    </row>
    <row r="305" spans="1:20" s="100" customFormat="1">
      <c r="A305"/>
      <c r="C305"/>
      <c r="E305"/>
      <c r="F305"/>
      <c r="G305"/>
      <c r="H305"/>
      <c r="I305"/>
      <c r="J305"/>
      <c r="K305"/>
      <c r="L305"/>
      <c r="M305"/>
      <c r="N305"/>
      <c r="O305"/>
      <c r="P305"/>
      <c r="Q305"/>
      <c r="R305"/>
      <c r="S305"/>
      <c r="T305"/>
    </row>
    <row r="306" spans="1:20" s="100" customFormat="1">
      <c r="A306"/>
      <c r="C306"/>
      <c r="E306"/>
      <c r="F306"/>
      <c r="G306"/>
      <c r="H306"/>
      <c r="I306"/>
      <c r="J306"/>
      <c r="K306"/>
      <c r="L306"/>
      <c r="M306"/>
      <c r="N306"/>
      <c r="O306"/>
      <c r="P306"/>
      <c r="Q306"/>
      <c r="R306"/>
      <c r="S306"/>
      <c r="T306"/>
    </row>
    <row r="307" spans="1:20" s="100" customFormat="1">
      <c r="A307"/>
      <c r="C307"/>
      <c r="E307"/>
      <c r="F307"/>
      <c r="G307"/>
      <c r="H307"/>
      <c r="I307"/>
      <c r="J307"/>
      <c r="K307"/>
      <c r="L307"/>
      <c r="M307"/>
      <c r="N307"/>
      <c r="O307"/>
      <c r="P307"/>
      <c r="Q307"/>
      <c r="R307"/>
      <c r="S307"/>
      <c r="T307"/>
    </row>
    <row r="308" spans="1:20" s="100" customFormat="1">
      <c r="A308"/>
      <c r="C308"/>
      <c r="E308"/>
      <c r="F308"/>
      <c r="G308"/>
      <c r="H308"/>
      <c r="I308"/>
      <c r="J308"/>
      <c r="K308"/>
      <c r="L308"/>
      <c r="M308"/>
      <c r="N308"/>
      <c r="O308"/>
      <c r="P308"/>
      <c r="Q308"/>
      <c r="R308"/>
      <c r="S308"/>
      <c r="T308"/>
    </row>
    <row r="309" spans="1:20" s="100" customFormat="1">
      <c r="A309"/>
      <c r="C309"/>
      <c r="E309"/>
      <c r="F309"/>
      <c r="G309"/>
      <c r="H309"/>
      <c r="I309"/>
      <c r="J309"/>
      <c r="K309"/>
      <c r="L309"/>
      <c r="M309"/>
      <c r="N309"/>
      <c r="O309"/>
      <c r="P309"/>
      <c r="Q309"/>
      <c r="R309"/>
      <c r="S309"/>
      <c r="T309"/>
    </row>
    <row r="310" spans="1:20" s="100" customFormat="1">
      <c r="A310"/>
      <c r="C310"/>
      <c r="E310"/>
      <c r="F310"/>
      <c r="G310"/>
      <c r="H310"/>
      <c r="I310"/>
      <c r="J310"/>
      <c r="K310"/>
      <c r="L310"/>
      <c r="M310"/>
      <c r="N310"/>
      <c r="O310"/>
      <c r="P310"/>
      <c r="Q310"/>
      <c r="R310"/>
      <c r="S310"/>
      <c r="T310"/>
    </row>
    <row r="311" spans="1:20" s="100" customFormat="1">
      <c r="A311"/>
      <c r="C311"/>
      <c r="E311"/>
      <c r="F311"/>
      <c r="G311"/>
      <c r="H311"/>
      <c r="I311"/>
      <c r="J311"/>
      <c r="K311"/>
      <c r="L311"/>
      <c r="M311"/>
      <c r="N311"/>
      <c r="O311"/>
      <c r="P311"/>
      <c r="Q311"/>
      <c r="R311"/>
      <c r="S311"/>
      <c r="T311"/>
    </row>
    <row r="312" spans="1:20" s="100" customFormat="1">
      <c r="A312"/>
      <c r="C312"/>
      <c r="E312"/>
      <c r="F312"/>
      <c r="G312"/>
      <c r="H312"/>
      <c r="I312"/>
      <c r="J312"/>
      <c r="K312"/>
      <c r="L312"/>
      <c r="M312"/>
      <c r="N312"/>
      <c r="O312"/>
      <c r="P312"/>
      <c r="Q312"/>
      <c r="R312"/>
      <c r="S312"/>
      <c r="T312"/>
    </row>
    <row r="313" spans="1:20" s="100" customFormat="1">
      <c r="A313"/>
      <c r="C313"/>
      <c r="E313"/>
      <c r="F313"/>
      <c r="G313"/>
      <c r="H313"/>
      <c r="I313"/>
      <c r="J313"/>
      <c r="K313"/>
      <c r="L313"/>
      <c r="M313"/>
      <c r="N313"/>
      <c r="O313"/>
      <c r="P313"/>
      <c r="Q313"/>
      <c r="R313"/>
      <c r="S313"/>
      <c r="T313"/>
    </row>
    <row r="314" spans="1:20" s="100" customFormat="1">
      <c r="A314"/>
      <c r="C314"/>
      <c r="E314"/>
      <c r="F314"/>
      <c r="G314"/>
      <c r="H314"/>
      <c r="I314"/>
      <c r="J314"/>
      <c r="K314"/>
      <c r="L314"/>
      <c r="M314"/>
      <c r="N314"/>
      <c r="O314"/>
      <c r="P314"/>
      <c r="Q314"/>
      <c r="R314"/>
      <c r="S314"/>
      <c r="T314"/>
    </row>
    <row r="315" spans="1:20" s="100" customFormat="1">
      <c r="A315"/>
      <c r="C315"/>
      <c r="E315"/>
      <c r="F315"/>
      <c r="G315"/>
      <c r="H315"/>
      <c r="I315"/>
      <c r="J315"/>
      <c r="K315"/>
      <c r="L315"/>
      <c r="M315"/>
      <c r="N315"/>
      <c r="O315"/>
      <c r="P315"/>
      <c r="Q315"/>
      <c r="R315"/>
      <c r="S315"/>
      <c r="T315"/>
    </row>
    <row r="316" spans="1:20" s="100" customFormat="1">
      <c r="A316"/>
      <c r="C316"/>
      <c r="E316"/>
      <c r="F316"/>
      <c r="G316"/>
      <c r="H316"/>
      <c r="I316"/>
      <c r="J316"/>
      <c r="K316"/>
      <c r="L316"/>
      <c r="M316"/>
      <c r="N316"/>
      <c r="O316"/>
      <c r="P316"/>
      <c r="Q316"/>
      <c r="R316"/>
      <c r="S316"/>
      <c r="T316"/>
    </row>
    <row r="317" spans="1:20" s="100" customFormat="1">
      <c r="A317"/>
      <c r="C317"/>
      <c r="E317"/>
      <c r="F317"/>
      <c r="G317"/>
      <c r="H317"/>
      <c r="I317"/>
      <c r="J317"/>
      <c r="K317"/>
      <c r="L317"/>
      <c r="M317"/>
      <c r="N317"/>
      <c r="O317"/>
      <c r="P317"/>
      <c r="Q317"/>
      <c r="R317"/>
      <c r="S317"/>
      <c r="T317"/>
    </row>
    <row r="318" spans="1:20" s="100" customFormat="1">
      <c r="A318"/>
      <c r="C318"/>
      <c r="E318"/>
      <c r="F318"/>
      <c r="G318"/>
      <c r="H318"/>
      <c r="I318"/>
      <c r="J318"/>
      <c r="K318"/>
      <c r="L318"/>
      <c r="M318"/>
      <c r="N318"/>
      <c r="O318"/>
      <c r="P318"/>
      <c r="Q318"/>
      <c r="R318"/>
      <c r="S318"/>
      <c r="T318"/>
    </row>
    <row r="319" spans="1:20" s="100" customFormat="1">
      <c r="A319"/>
      <c r="C319"/>
      <c r="E319"/>
      <c r="F319"/>
      <c r="G319"/>
      <c r="H319"/>
      <c r="I319"/>
      <c r="J319"/>
      <c r="K319"/>
      <c r="L319"/>
      <c r="M319"/>
      <c r="N319"/>
      <c r="O319"/>
      <c r="P319"/>
      <c r="Q319"/>
      <c r="R319"/>
      <c r="S319"/>
      <c r="T319"/>
    </row>
    <row r="320" spans="1:20" s="100" customFormat="1">
      <c r="A320"/>
      <c r="C320"/>
      <c r="E320"/>
      <c r="F320"/>
      <c r="G320"/>
      <c r="H320"/>
      <c r="I320"/>
      <c r="J320"/>
      <c r="K320"/>
      <c r="L320"/>
      <c r="M320"/>
      <c r="N320"/>
      <c r="O320"/>
      <c r="P320"/>
      <c r="Q320"/>
      <c r="R320"/>
      <c r="S320"/>
      <c r="T320"/>
    </row>
    <row r="321" spans="1:20" s="100" customFormat="1">
      <c r="A321"/>
      <c r="C321"/>
      <c r="E321"/>
      <c r="F321"/>
      <c r="G321"/>
      <c r="H321"/>
      <c r="I321"/>
      <c r="J321"/>
      <c r="K321"/>
      <c r="L321"/>
      <c r="M321"/>
      <c r="N321"/>
      <c r="O321"/>
      <c r="P321"/>
      <c r="Q321"/>
      <c r="R321"/>
      <c r="S321"/>
      <c r="T321"/>
    </row>
    <row r="322" spans="1:20" s="100" customFormat="1">
      <c r="A322"/>
      <c r="C322"/>
      <c r="E322"/>
      <c r="F322"/>
      <c r="G322"/>
      <c r="H322"/>
      <c r="I322"/>
      <c r="J322"/>
      <c r="K322"/>
      <c r="L322"/>
      <c r="M322"/>
      <c r="N322"/>
      <c r="O322"/>
      <c r="P322"/>
      <c r="Q322"/>
      <c r="R322"/>
      <c r="S322"/>
      <c r="T322"/>
    </row>
    <row r="323" spans="1:20" s="100" customFormat="1">
      <c r="A323"/>
      <c r="C323"/>
      <c r="E323"/>
      <c r="F323"/>
      <c r="G323"/>
      <c r="H323"/>
      <c r="I323"/>
      <c r="J323"/>
      <c r="K323"/>
      <c r="L323"/>
      <c r="M323"/>
      <c r="N323"/>
      <c r="O323"/>
      <c r="P323"/>
      <c r="Q323"/>
      <c r="R323"/>
      <c r="S323"/>
      <c r="T323"/>
    </row>
    <row r="324" spans="1:20" s="100" customFormat="1">
      <c r="A324"/>
      <c r="C324"/>
      <c r="E324"/>
      <c r="F324"/>
      <c r="G324"/>
      <c r="H324"/>
      <c r="I324"/>
      <c r="J324"/>
      <c r="K324"/>
      <c r="L324"/>
      <c r="M324"/>
      <c r="N324"/>
      <c r="O324"/>
      <c r="P324"/>
      <c r="Q324"/>
      <c r="R324"/>
      <c r="S324"/>
      <c r="T324"/>
    </row>
    <row r="325" spans="1:20" s="100" customFormat="1">
      <c r="A325"/>
      <c r="C325"/>
      <c r="E325"/>
      <c r="F325"/>
      <c r="G325"/>
      <c r="H325"/>
      <c r="I325"/>
      <c r="J325"/>
      <c r="K325"/>
      <c r="L325"/>
      <c r="M325"/>
      <c r="N325"/>
      <c r="O325"/>
      <c r="P325"/>
      <c r="Q325"/>
      <c r="R325"/>
      <c r="S325"/>
      <c r="T325"/>
    </row>
    <row r="326" spans="1:20" s="100" customFormat="1">
      <c r="A326"/>
      <c r="C326"/>
      <c r="E326"/>
      <c r="F326"/>
      <c r="G326"/>
      <c r="H326"/>
      <c r="I326"/>
      <c r="J326"/>
      <c r="K326"/>
      <c r="L326"/>
      <c r="M326"/>
      <c r="N326"/>
      <c r="O326"/>
      <c r="P326"/>
      <c r="Q326"/>
      <c r="R326"/>
      <c r="S326"/>
      <c r="T326"/>
    </row>
    <row r="327" spans="1:20" s="100" customFormat="1">
      <c r="A327"/>
      <c r="C327"/>
      <c r="E327"/>
      <c r="F327"/>
      <c r="G327"/>
      <c r="H327"/>
      <c r="I327"/>
      <c r="J327"/>
      <c r="K327"/>
      <c r="L327"/>
      <c r="M327"/>
      <c r="N327"/>
      <c r="O327"/>
      <c r="P327"/>
      <c r="Q327"/>
      <c r="R327"/>
      <c r="S327"/>
      <c r="T327"/>
    </row>
    <row r="328" spans="1:20" s="100" customFormat="1">
      <c r="A328"/>
      <c r="C328"/>
      <c r="E328"/>
      <c r="F328"/>
      <c r="G328"/>
      <c r="H328"/>
      <c r="I328"/>
      <c r="J328"/>
      <c r="K328"/>
      <c r="L328"/>
      <c r="M328"/>
      <c r="N328"/>
      <c r="O328"/>
      <c r="P328"/>
      <c r="Q328"/>
      <c r="R328"/>
      <c r="S328"/>
      <c r="T328"/>
    </row>
    <row r="329" spans="1:20" s="100" customFormat="1">
      <c r="A329"/>
      <c r="C329"/>
      <c r="E329"/>
      <c r="F329"/>
      <c r="G329"/>
      <c r="H329"/>
      <c r="I329"/>
      <c r="J329"/>
      <c r="K329"/>
      <c r="L329"/>
      <c r="M329"/>
      <c r="N329"/>
      <c r="O329"/>
      <c r="P329"/>
      <c r="Q329"/>
      <c r="R329"/>
      <c r="S329"/>
      <c r="T329"/>
    </row>
    <row r="330" spans="1:20" s="100" customFormat="1">
      <c r="A330"/>
      <c r="C330"/>
      <c r="E330"/>
      <c r="F330"/>
      <c r="G330"/>
      <c r="H330"/>
      <c r="I330"/>
      <c r="J330"/>
      <c r="K330"/>
      <c r="L330"/>
      <c r="M330"/>
      <c r="N330"/>
      <c r="O330"/>
      <c r="P330"/>
      <c r="Q330"/>
      <c r="R330"/>
      <c r="S330"/>
      <c r="T330"/>
    </row>
    <row r="331" spans="1:20" s="100" customFormat="1">
      <c r="A331"/>
      <c r="C331"/>
      <c r="E331"/>
      <c r="F331"/>
      <c r="G331"/>
      <c r="H331"/>
      <c r="I331"/>
      <c r="J331"/>
      <c r="K331"/>
      <c r="L331"/>
      <c r="M331"/>
      <c r="N331"/>
      <c r="O331"/>
      <c r="P331"/>
      <c r="Q331"/>
      <c r="R331"/>
      <c r="S331"/>
      <c r="T331"/>
    </row>
    <row r="332" spans="1:20" s="100" customFormat="1">
      <c r="A332"/>
      <c r="C332"/>
      <c r="E332"/>
      <c r="F332"/>
      <c r="G332"/>
      <c r="H332"/>
      <c r="I332"/>
      <c r="J332"/>
      <c r="K332"/>
      <c r="L332"/>
      <c r="M332"/>
      <c r="N332"/>
      <c r="O332"/>
      <c r="P332"/>
      <c r="Q332"/>
      <c r="R332"/>
      <c r="S332"/>
      <c r="T332"/>
    </row>
    <row r="333" spans="1:20" s="100" customFormat="1">
      <c r="A333"/>
      <c r="C333"/>
      <c r="E333"/>
      <c r="F333"/>
      <c r="G333"/>
      <c r="H333"/>
      <c r="I333"/>
      <c r="J333"/>
      <c r="K333"/>
      <c r="L333"/>
      <c r="M333"/>
      <c r="N333"/>
      <c r="O333"/>
      <c r="P333"/>
      <c r="Q333"/>
      <c r="R333"/>
      <c r="S333"/>
      <c r="T333"/>
    </row>
    <row r="334" spans="1:20" s="100" customFormat="1">
      <c r="A334"/>
      <c r="C334"/>
      <c r="E334"/>
      <c r="F334"/>
      <c r="G334"/>
      <c r="H334"/>
      <c r="I334"/>
      <c r="J334"/>
      <c r="K334"/>
      <c r="L334"/>
      <c r="M334"/>
      <c r="N334"/>
      <c r="O334"/>
      <c r="P334"/>
      <c r="Q334"/>
      <c r="R334"/>
      <c r="S334"/>
      <c r="T334"/>
    </row>
    <row r="335" spans="1:20" s="100" customFormat="1">
      <c r="A335"/>
      <c r="C335"/>
      <c r="E335"/>
      <c r="F335"/>
      <c r="G335"/>
      <c r="H335"/>
      <c r="I335"/>
      <c r="J335"/>
      <c r="K335"/>
      <c r="L335"/>
      <c r="M335"/>
      <c r="N335"/>
      <c r="O335"/>
      <c r="P335"/>
      <c r="Q335"/>
      <c r="R335"/>
      <c r="S335"/>
      <c r="T335"/>
    </row>
    <row r="336" spans="1:20" s="100" customFormat="1">
      <c r="A336"/>
      <c r="C336"/>
      <c r="E336"/>
      <c r="F336"/>
      <c r="G336"/>
      <c r="H336"/>
      <c r="I336"/>
      <c r="J336"/>
      <c r="K336"/>
      <c r="L336"/>
      <c r="M336"/>
      <c r="N336"/>
      <c r="O336"/>
      <c r="P336"/>
      <c r="Q336"/>
      <c r="R336"/>
      <c r="S336"/>
      <c r="T336"/>
    </row>
    <row r="337" spans="1:20" s="100" customFormat="1">
      <c r="A337"/>
      <c r="C337"/>
      <c r="E337"/>
      <c r="F337"/>
      <c r="G337"/>
      <c r="H337"/>
      <c r="I337"/>
      <c r="J337"/>
      <c r="K337"/>
      <c r="L337"/>
      <c r="M337"/>
      <c r="N337"/>
      <c r="O337"/>
      <c r="P337"/>
      <c r="Q337"/>
      <c r="R337"/>
      <c r="S337"/>
      <c r="T337"/>
    </row>
    <row r="338" spans="1:20" s="100" customFormat="1">
      <c r="A338"/>
      <c r="C338"/>
      <c r="E338"/>
      <c r="F338"/>
      <c r="G338"/>
      <c r="H338"/>
      <c r="I338"/>
      <c r="J338"/>
      <c r="K338"/>
      <c r="L338"/>
      <c r="M338"/>
      <c r="N338"/>
      <c r="O338"/>
      <c r="P338"/>
      <c r="Q338"/>
      <c r="R338"/>
      <c r="S338"/>
      <c r="T338"/>
    </row>
    <row r="339" spans="1:20" s="100" customFormat="1">
      <c r="A339"/>
      <c r="C339"/>
      <c r="E339"/>
      <c r="F339"/>
      <c r="G339"/>
      <c r="H339"/>
      <c r="I339"/>
      <c r="J339"/>
      <c r="K339"/>
      <c r="L339"/>
      <c r="M339"/>
      <c r="N339"/>
      <c r="O339"/>
      <c r="P339"/>
      <c r="Q339"/>
      <c r="R339"/>
      <c r="S339"/>
      <c r="T339"/>
    </row>
    <row r="340" spans="1:20" s="100" customFormat="1">
      <c r="A340"/>
      <c r="C340"/>
      <c r="E340"/>
      <c r="F340"/>
      <c r="G340"/>
      <c r="H340"/>
      <c r="I340"/>
      <c r="J340"/>
      <c r="K340"/>
      <c r="L340"/>
      <c r="M340"/>
      <c r="N340"/>
      <c r="O340"/>
      <c r="P340"/>
      <c r="Q340"/>
      <c r="R340"/>
      <c r="S340"/>
      <c r="T340"/>
    </row>
    <row r="341" spans="1:20" s="100" customFormat="1">
      <c r="A341"/>
      <c r="C341"/>
      <c r="E341"/>
      <c r="F341"/>
      <c r="G341"/>
      <c r="H341"/>
      <c r="I341"/>
      <c r="J341"/>
      <c r="K341"/>
      <c r="L341"/>
      <c r="M341"/>
      <c r="N341"/>
      <c r="O341"/>
      <c r="P341"/>
      <c r="Q341"/>
      <c r="R341"/>
      <c r="S341"/>
      <c r="T341"/>
    </row>
    <row r="342" spans="1:20" s="100" customFormat="1">
      <c r="A342"/>
      <c r="C342"/>
      <c r="E342"/>
      <c r="F342"/>
      <c r="G342"/>
      <c r="H342"/>
      <c r="I342"/>
      <c r="J342"/>
      <c r="K342"/>
      <c r="L342"/>
      <c r="M342"/>
      <c r="N342"/>
      <c r="O342"/>
      <c r="P342"/>
      <c r="Q342"/>
      <c r="R342"/>
      <c r="S342"/>
      <c r="T342"/>
    </row>
    <row r="343" spans="1:20" s="100" customFormat="1">
      <c r="A343"/>
      <c r="C343"/>
      <c r="E343"/>
      <c r="F343"/>
      <c r="G343"/>
      <c r="H343"/>
      <c r="I343"/>
      <c r="J343"/>
      <c r="K343"/>
      <c r="L343"/>
      <c r="M343"/>
      <c r="N343"/>
      <c r="O343"/>
      <c r="P343"/>
      <c r="Q343"/>
      <c r="R343"/>
      <c r="S343"/>
      <c r="T343"/>
    </row>
    <row r="344" spans="1:20" s="100" customFormat="1">
      <c r="A344"/>
      <c r="C344"/>
      <c r="E344"/>
      <c r="F344"/>
      <c r="G344"/>
      <c r="H344"/>
      <c r="I344"/>
      <c r="J344"/>
      <c r="K344"/>
      <c r="L344"/>
      <c r="M344"/>
      <c r="N344"/>
      <c r="O344"/>
      <c r="P344"/>
      <c r="Q344"/>
      <c r="R344"/>
      <c r="S344"/>
      <c r="T344"/>
    </row>
    <row r="345" spans="1:20" s="100" customFormat="1">
      <c r="A345"/>
      <c r="C345"/>
      <c r="E345"/>
      <c r="F345"/>
      <c r="G345"/>
      <c r="H345"/>
      <c r="I345"/>
      <c r="J345"/>
      <c r="K345"/>
      <c r="L345"/>
      <c r="M345"/>
      <c r="N345"/>
      <c r="O345"/>
      <c r="P345"/>
      <c r="Q345"/>
      <c r="R345"/>
      <c r="S345"/>
      <c r="T345"/>
    </row>
    <row r="346" spans="1:20" s="100" customFormat="1">
      <c r="A346"/>
      <c r="C346"/>
      <c r="E346"/>
      <c r="F346"/>
      <c r="G346"/>
      <c r="H346"/>
      <c r="I346"/>
      <c r="J346"/>
      <c r="K346"/>
      <c r="L346"/>
      <c r="M346"/>
      <c r="N346"/>
      <c r="O346"/>
      <c r="P346"/>
      <c r="Q346"/>
      <c r="R346"/>
      <c r="S346"/>
      <c r="T346"/>
    </row>
    <row r="347" spans="1:20" s="100" customFormat="1">
      <c r="A347"/>
      <c r="C347"/>
      <c r="E347"/>
      <c r="F347"/>
      <c r="G347"/>
      <c r="H347"/>
      <c r="I347"/>
      <c r="J347"/>
      <c r="K347"/>
      <c r="L347"/>
      <c r="M347"/>
      <c r="N347"/>
      <c r="O347"/>
      <c r="P347"/>
      <c r="Q347"/>
      <c r="R347"/>
      <c r="S347"/>
      <c r="T347"/>
    </row>
    <row r="348" spans="1:20" s="100" customFormat="1">
      <c r="A348"/>
      <c r="C348"/>
      <c r="E348"/>
      <c r="F348"/>
      <c r="G348"/>
      <c r="H348"/>
      <c r="I348"/>
      <c r="J348"/>
      <c r="K348"/>
      <c r="L348"/>
      <c r="M348"/>
      <c r="N348"/>
      <c r="O348"/>
      <c r="P348"/>
      <c r="Q348"/>
      <c r="R348"/>
      <c r="S348"/>
      <c r="T348"/>
    </row>
    <row r="349" spans="1:20" s="100" customFormat="1">
      <c r="A349"/>
      <c r="C349"/>
      <c r="E349"/>
      <c r="F349"/>
      <c r="G349"/>
      <c r="H349"/>
      <c r="I349"/>
      <c r="J349"/>
      <c r="K349"/>
      <c r="L349"/>
      <c r="M349"/>
      <c r="N349"/>
      <c r="O349"/>
      <c r="P349"/>
      <c r="Q349"/>
      <c r="R349"/>
      <c r="S349"/>
      <c r="T349"/>
    </row>
    <row r="350" spans="1:20" s="100" customFormat="1">
      <c r="A350"/>
      <c r="C350"/>
      <c r="E350"/>
      <c r="F350"/>
      <c r="G350"/>
      <c r="H350"/>
      <c r="I350"/>
      <c r="J350"/>
      <c r="K350"/>
      <c r="L350"/>
      <c r="M350"/>
      <c r="N350"/>
      <c r="O350"/>
      <c r="P350"/>
      <c r="Q350"/>
      <c r="R350"/>
      <c r="S350"/>
      <c r="T350"/>
    </row>
    <row r="351" spans="1:20" s="100" customFormat="1">
      <c r="A351"/>
      <c r="C351"/>
      <c r="E351"/>
      <c r="F351"/>
      <c r="G351"/>
      <c r="H351"/>
      <c r="I351"/>
      <c r="J351"/>
      <c r="K351"/>
      <c r="L351"/>
      <c r="M351"/>
      <c r="N351"/>
      <c r="O351"/>
      <c r="P351"/>
      <c r="Q351"/>
      <c r="R351"/>
      <c r="S351"/>
      <c r="T351"/>
    </row>
    <row r="352" spans="1:20" s="100" customFormat="1">
      <c r="A352"/>
      <c r="C352"/>
      <c r="E352"/>
      <c r="F352"/>
      <c r="G352"/>
      <c r="H352"/>
      <c r="I352"/>
      <c r="J352"/>
      <c r="K352"/>
      <c r="L352"/>
      <c r="M352"/>
      <c r="N352"/>
      <c r="O352"/>
      <c r="P352"/>
      <c r="Q352"/>
      <c r="R352"/>
      <c r="S352"/>
      <c r="T352"/>
    </row>
    <row r="353" spans="1:20" s="100" customFormat="1">
      <c r="A353"/>
      <c r="C353"/>
      <c r="E353"/>
      <c r="F353"/>
      <c r="G353"/>
      <c r="H353"/>
      <c r="I353"/>
      <c r="J353"/>
      <c r="K353"/>
      <c r="L353"/>
      <c r="M353"/>
      <c r="N353"/>
      <c r="O353"/>
      <c r="P353"/>
      <c r="Q353"/>
      <c r="R353"/>
      <c r="S353"/>
      <c r="T353"/>
    </row>
    <row r="354" spans="1:20" s="100" customFormat="1">
      <c r="A354"/>
      <c r="C354"/>
      <c r="E354"/>
      <c r="F354"/>
      <c r="G354"/>
      <c r="H354"/>
      <c r="I354"/>
      <c r="J354"/>
      <c r="K354"/>
      <c r="L354"/>
      <c r="M354"/>
      <c r="N354"/>
      <c r="O354"/>
      <c r="P354"/>
      <c r="Q354"/>
      <c r="R354"/>
      <c r="S354"/>
      <c r="T354"/>
    </row>
    <row r="355" spans="1:20" s="100" customFormat="1">
      <c r="A355"/>
      <c r="C355"/>
      <c r="E355"/>
      <c r="F355"/>
      <c r="G355"/>
      <c r="H355"/>
      <c r="I355"/>
      <c r="J355"/>
      <c r="K355"/>
      <c r="L355"/>
      <c r="M355"/>
      <c r="N355"/>
      <c r="O355"/>
      <c r="P355"/>
      <c r="Q355"/>
      <c r="R355"/>
      <c r="S355"/>
      <c r="T355"/>
    </row>
    <row r="356" spans="1:20" s="100" customFormat="1">
      <c r="A356"/>
      <c r="C356"/>
      <c r="E356"/>
      <c r="F356"/>
      <c r="G356"/>
      <c r="H356"/>
      <c r="I356"/>
      <c r="J356"/>
      <c r="K356"/>
      <c r="L356"/>
      <c r="M356"/>
      <c r="N356"/>
      <c r="O356"/>
      <c r="P356"/>
      <c r="Q356"/>
      <c r="R356"/>
      <c r="S356"/>
      <c r="T356"/>
    </row>
    <row r="357" spans="1:20" s="100" customFormat="1">
      <c r="A357"/>
      <c r="C357"/>
      <c r="E357"/>
      <c r="F357"/>
      <c r="G357"/>
      <c r="H357"/>
      <c r="I357"/>
      <c r="J357"/>
      <c r="K357"/>
      <c r="L357"/>
      <c r="M357"/>
      <c r="N357"/>
      <c r="O357"/>
      <c r="P357"/>
      <c r="Q357"/>
      <c r="R357"/>
      <c r="S357"/>
      <c r="T357"/>
    </row>
    <row r="358" spans="1:20" s="100" customFormat="1">
      <c r="A358"/>
      <c r="C358"/>
      <c r="E358"/>
      <c r="F358"/>
      <c r="G358"/>
      <c r="H358"/>
      <c r="I358"/>
      <c r="J358"/>
      <c r="K358"/>
      <c r="L358"/>
      <c r="M358"/>
      <c r="N358"/>
      <c r="O358"/>
      <c r="P358"/>
      <c r="Q358"/>
      <c r="R358"/>
      <c r="S358"/>
      <c r="T358"/>
    </row>
    <row r="359" spans="1:20" s="100" customFormat="1">
      <c r="A359"/>
      <c r="C359"/>
      <c r="E359"/>
      <c r="F359"/>
      <c r="G359"/>
      <c r="H359"/>
      <c r="I359"/>
      <c r="J359"/>
      <c r="K359"/>
      <c r="L359"/>
      <c r="M359"/>
      <c r="N359"/>
      <c r="O359"/>
      <c r="P359"/>
      <c r="Q359"/>
      <c r="R359"/>
      <c r="S359"/>
      <c r="T359"/>
    </row>
    <row r="360" spans="1:20" s="100" customFormat="1">
      <c r="A360"/>
      <c r="C360"/>
      <c r="E360"/>
      <c r="F360"/>
      <c r="G360"/>
      <c r="H360"/>
      <c r="I360"/>
      <c r="J360"/>
      <c r="K360"/>
      <c r="L360"/>
      <c r="M360"/>
      <c r="N360"/>
      <c r="O360"/>
      <c r="P360"/>
      <c r="Q360"/>
      <c r="R360"/>
      <c r="S360"/>
      <c r="T360"/>
    </row>
    <row r="361" spans="1:20" s="100" customFormat="1">
      <c r="A361"/>
      <c r="C361"/>
      <c r="E361"/>
      <c r="F361"/>
      <c r="G361"/>
      <c r="H361"/>
      <c r="I361"/>
      <c r="J361"/>
      <c r="K361"/>
      <c r="L361"/>
      <c r="M361"/>
      <c r="N361"/>
      <c r="O361"/>
      <c r="P361"/>
      <c r="Q361"/>
      <c r="R361"/>
      <c r="S361"/>
      <c r="T361"/>
    </row>
    <row r="362" spans="1:20" s="100" customFormat="1">
      <c r="A362"/>
      <c r="C362"/>
      <c r="E362"/>
      <c r="F362"/>
      <c r="G362"/>
      <c r="H362"/>
      <c r="I362"/>
      <c r="J362"/>
      <c r="K362"/>
      <c r="L362"/>
      <c r="M362"/>
      <c r="N362"/>
      <c r="O362"/>
      <c r="P362"/>
      <c r="Q362"/>
      <c r="R362"/>
      <c r="S362"/>
      <c r="T362"/>
    </row>
    <row r="363" spans="1:20" s="100" customFormat="1">
      <c r="A363"/>
      <c r="C363"/>
      <c r="E363"/>
      <c r="F363"/>
      <c r="G363"/>
      <c r="H363"/>
      <c r="I363"/>
      <c r="J363"/>
      <c r="K363"/>
      <c r="L363"/>
      <c r="M363"/>
      <c r="N363"/>
      <c r="O363"/>
      <c r="P363"/>
      <c r="Q363"/>
      <c r="R363"/>
      <c r="S363"/>
      <c r="T363"/>
    </row>
    <row r="364" spans="1:20" s="100" customFormat="1">
      <c r="A364"/>
      <c r="C364"/>
      <c r="E364"/>
      <c r="F364"/>
      <c r="G364"/>
      <c r="H364"/>
      <c r="I364"/>
      <c r="J364"/>
      <c r="K364"/>
      <c r="L364"/>
      <c r="M364"/>
      <c r="N364"/>
      <c r="O364"/>
      <c r="P364"/>
      <c r="Q364"/>
      <c r="R364"/>
      <c r="S364"/>
      <c r="T364"/>
    </row>
    <row r="365" spans="1:20" s="100" customFormat="1">
      <c r="A365"/>
      <c r="C365"/>
      <c r="E365"/>
      <c r="F365"/>
      <c r="G365"/>
      <c r="H365"/>
      <c r="I365"/>
      <c r="J365"/>
      <c r="K365"/>
      <c r="L365"/>
      <c r="M365"/>
      <c r="N365"/>
      <c r="O365"/>
      <c r="P365"/>
      <c r="Q365"/>
      <c r="R365"/>
      <c r="S365"/>
      <c r="T365"/>
    </row>
    <row r="366" spans="1:20" s="100" customFormat="1">
      <c r="A366"/>
      <c r="C366"/>
      <c r="E366"/>
      <c r="F366"/>
      <c r="G366"/>
      <c r="H366"/>
      <c r="I366"/>
      <c r="J366"/>
      <c r="K366"/>
      <c r="L366"/>
      <c r="M366"/>
      <c r="N366"/>
      <c r="O366"/>
      <c r="P366"/>
      <c r="Q366"/>
      <c r="R366"/>
      <c r="S366"/>
      <c r="T366"/>
    </row>
    <row r="367" spans="1:20" s="100" customFormat="1">
      <c r="A367"/>
      <c r="C367"/>
      <c r="E367"/>
      <c r="F367"/>
      <c r="G367"/>
      <c r="H367"/>
      <c r="I367"/>
      <c r="J367"/>
      <c r="K367"/>
      <c r="L367"/>
      <c r="M367"/>
      <c r="N367"/>
      <c r="O367"/>
      <c r="P367"/>
      <c r="Q367"/>
      <c r="R367"/>
      <c r="S367"/>
      <c r="T367"/>
    </row>
    <row r="368" spans="1:20" s="100" customFormat="1">
      <c r="A368"/>
      <c r="C368"/>
      <c r="E368"/>
      <c r="F368"/>
      <c r="G368"/>
      <c r="H368"/>
      <c r="I368"/>
      <c r="J368"/>
      <c r="K368"/>
      <c r="L368"/>
      <c r="M368"/>
      <c r="N368"/>
      <c r="O368"/>
      <c r="P368"/>
      <c r="Q368"/>
      <c r="R368"/>
      <c r="S368"/>
      <c r="T368"/>
    </row>
    <row r="369" spans="1:20" s="100" customFormat="1">
      <c r="A369"/>
      <c r="C369"/>
      <c r="E369"/>
      <c r="F369"/>
      <c r="G369"/>
      <c r="H369"/>
      <c r="I369"/>
      <c r="J369"/>
      <c r="K369"/>
      <c r="L369"/>
      <c r="M369"/>
      <c r="N369"/>
      <c r="O369"/>
      <c r="P369"/>
      <c r="Q369"/>
      <c r="R369"/>
      <c r="S369"/>
      <c r="T369"/>
    </row>
    <row r="370" spans="1:20" s="100" customFormat="1">
      <c r="A370"/>
      <c r="C370"/>
      <c r="E370"/>
      <c r="F370"/>
      <c r="G370"/>
      <c r="H370"/>
      <c r="I370"/>
      <c r="J370"/>
      <c r="K370"/>
      <c r="L370"/>
      <c r="M370"/>
      <c r="N370"/>
      <c r="O370"/>
      <c r="P370"/>
      <c r="Q370"/>
      <c r="R370"/>
      <c r="S370"/>
      <c r="T370"/>
    </row>
    <row r="371" spans="1:20" s="100" customFormat="1">
      <c r="A371"/>
      <c r="C371"/>
      <c r="E371"/>
      <c r="F371"/>
      <c r="G371"/>
      <c r="H371"/>
      <c r="I371"/>
      <c r="J371"/>
      <c r="K371"/>
      <c r="L371"/>
      <c r="M371"/>
      <c r="N371"/>
      <c r="O371"/>
      <c r="P371"/>
      <c r="Q371"/>
      <c r="R371"/>
      <c r="S371"/>
      <c r="T371"/>
    </row>
    <row r="372" spans="1:20" s="100" customFormat="1">
      <c r="A372"/>
      <c r="C372"/>
      <c r="E372"/>
      <c r="F372"/>
      <c r="G372"/>
      <c r="H372"/>
      <c r="I372"/>
      <c r="J372"/>
      <c r="K372"/>
      <c r="L372"/>
      <c r="M372"/>
      <c r="N372"/>
      <c r="O372"/>
      <c r="P372"/>
      <c r="Q372"/>
      <c r="R372"/>
      <c r="S372"/>
      <c r="T372"/>
    </row>
    <row r="373" spans="1:20" s="100" customFormat="1">
      <c r="A373"/>
      <c r="C373"/>
      <c r="E373"/>
      <c r="F373"/>
      <c r="G373"/>
      <c r="H373"/>
      <c r="I373"/>
      <c r="J373"/>
      <c r="K373"/>
      <c r="L373"/>
      <c r="M373"/>
      <c r="N373"/>
      <c r="O373"/>
      <c r="P373"/>
      <c r="Q373"/>
      <c r="R373"/>
      <c r="S373"/>
      <c r="T373"/>
    </row>
    <row r="374" spans="1:20" s="100" customFormat="1">
      <c r="A374"/>
      <c r="C374"/>
      <c r="E374"/>
      <c r="F374"/>
      <c r="G374"/>
      <c r="H374"/>
      <c r="I374"/>
      <c r="J374"/>
      <c r="K374"/>
      <c r="L374"/>
      <c r="M374"/>
      <c r="N374"/>
      <c r="O374"/>
      <c r="P374"/>
      <c r="Q374"/>
      <c r="R374"/>
      <c r="S374"/>
      <c r="T374"/>
    </row>
    <row r="375" spans="1:20" s="100" customFormat="1">
      <c r="A375"/>
      <c r="C375"/>
      <c r="E375"/>
      <c r="F375"/>
      <c r="G375"/>
      <c r="H375"/>
      <c r="I375"/>
      <c r="J375"/>
      <c r="K375"/>
      <c r="L375"/>
      <c r="M375"/>
      <c r="N375"/>
      <c r="O375"/>
      <c r="P375"/>
      <c r="Q375"/>
      <c r="R375"/>
      <c r="S375"/>
      <c r="T375"/>
    </row>
    <row r="376" spans="1:20" s="100" customFormat="1">
      <c r="A376"/>
      <c r="C376"/>
      <c r="E376"/>
      <c r="F376"/>
      <c r="G376"/>
      <c r="H376"/>
      <c r="I376"/>
      <c r="J376"/>
      <c r="K376"/>
      <c r="L376"/>
      <c r="M376"/>
      <c r="N376"/>
      <c r="O376"/>
      <c r="P376"/>
      <c r="Q376"/>
      <c r="R376"/>
      <c r="S376"/>
      <c r="T376"/>
    </row>
    <row r="377" spans="1:20" s="100" customFormat="1">
      <c r="A377"/>
      <c r="C377"/>
      <c r="E377"/>
      <c r="F377"/>
      <c r="G377"/>
      <c r="H377"/>
      <c r="I377"/>
      <c r="J377"/>
      <c r="K377"/>
      <c r="L377"/>
      <c r="M377"/>
      <c r="N377"/>
      <c r="O377"/>
      <c r="P377"/>
      <c r="Q377"/>
      <c r="R377"/>
      <c r="S377"/>
      <c r="T377"/>
    </row>
    <row r="378" spans="1:20" s="100" customFormat="1">
      <c r="A378"/>
      <c r="C378"/>
      <c r="E378"/>
      <c r="F378"/>
      <c r="G378"/>
      <c r="H378"/>
      <c r="I378"/>
      <c r="J378"/>
      <c r="K378"/>
      <c r="L378"/>
      <c r="M378"/>
      <c r="N378"/>
      <c r="O378"/>
      <c r="P378"/>
      <c r="Q378"/>
      <c r="R378"/>
      <c r="S378"/>
      <c r="T378"/>
    </row>
    <row r="379" spans="1:20" s="100" customFormat="1">
      <c r="A379"/>
      <c r="C379"/>
      <c r="E379"/>
      <c r="F379"/>
      <c r="G379"/>
      <c r="H379"/>
      <c r="I379"/>
      <c r="J379"/>
      <c r="K379"/>
      <c r="L379"/>
      <c r="M379"/>
      <c r="N379"/>
      <c r="O379"/>
      <c r="P379"/>
      <c r="Q379"/>
      <c r="R379"/>
      <c r="S379"/>
      <c r="T379"/>
    </row>
    <row r="380" spans="1:20" s="100" customFormat="1">
      <c r="A380"/>
      <c r="C380"/>
      <c r="E380"/>
      <c r="F380"/>
      <c r="G380"/>
      <c r="H380"/>
      <c r="I380"/>
      <c r="J380"/>
      <c r="K380"/>
      <c r="L380"/>
      <c r="M380"/>
      <c r="N380"/>
      <c r="O380"/>
      <c r="P380"/>
      <c r="Q380"/>
      <c r="R380"/>
      <c r="S380"/>
      <c r="T380"/>
    </row>
    <row r="381" spans="1:20" s="100" customFormat="1">
      <c r="A381"/>
      <c r="C381"/>
      <c r="E381"/>
      <c r="F381"/>
      <c r="G381"/>
      <c r="H381"/>
      <c r="I381"/>
      <c r="J381"/>
      <c r="K381"/>
      <c r="L381"/>
      <c r="M381"/>
      <c r="N381"/>
      <c r="O381"/>
      <c r="P381"/>
      <c r="Q381"/>
      <c r="R381"/>
      <c r="S381"/>
      <c r="T381"/>
    </row>
    <row r="382" spans="1:20" s="100" customFormat="1">
      <c r="A382"/>
      <c r="C382"/>
      <c r="E382"/>
      <c r="F382"/>
      <c r="G382"/>
      <c r="H382"/>
      <c r="I382"/>
      <c r="J382"/>
      <c r="K382"/>
      <c r="L382"/>
      <c r="M382"/>
      <c r="N382"/>
      <c r="O382"/>
      <c r="P382"/>
      <c r="Q382"/>
      <c r="R382"/>
      <c r="S382"/>
      <c r="T382"/>
    </row>
    <row r="383" spans="1:20" s="100" customFormat="1">
      <c r="A383"/>
      <c r="C383"/>
      <c r="E383"/>
      <c r="F383"/>
      <c r="G383"/>
      <c r="H383"/>
      <c r="I383"/>
      <c r="J383"/>
      <c r="K383"/>
      <c r="L383"/>
      <c r="M383"/>
      <c r="N383"/>
      <c r="O383"/>
      <c r="P383"/>
      <c r="Q383"/>
      <c r="R383"/>
      <c r="S383"/>
      <c r="T383"/>
    </row>
    <row r="384" spans="1:20" s="100" customFormat="1">
      <c r="A384"/>
      <c r="C384"/>
      <c r="E384"/>
      <c r="F384"/>
      <c r="G384"/>
      <c r="H384"/>
      <c r="I384"/>
      <c r="J384"/>
      <c r="K384"/>
      <c r="L384"/>
      <c r="M384"/>
      <c r="N384"/>
      <c r="O384"/>
      <c r="P384"/>
      <c r="Q384"/>
      <c r="R384"/>
      <c r="S384"/>
      <c r="T384"/>
    </row>
    <row r="385" spans="1:20" s="100" customFormat="1">
      <c r="A385"/>
      <c r="C385"/>
      <c r="E385"/>
      <c r="F385"/>
      <c r="G385"/>
      <c r="H385"/>
      <c r="I385"/>
      <c r="J385"/>
      <c r="K385"/>
      <c r="L385"/>
      <c r="M385"/>
      <c r="N385"/>
      <c r="O385"/>
      <c r="P385"/>
      <c r="Q385"/>
      <c r="R385"/>
      <c r="S385"/>
      <c r="T385"/>
    </row>
    <row r="386" spans="1:20" s="100" customFormat="1">
      <c r="A386"/>
      <c r="C386"/>
      <c r="E386"/>
      <c r="F386"/>
      <c r="G386"/>
      <c r="H386"/>
      <c r="I386"/>
      <c r="J386"/>
      <c r="K386"/>
      <c r="L386"/>
      <c r="M386"/>
      <c r="N386"/>
      <c r="O386"/>
      <c r="P386"/>
      <c r="Q386"/>
      <c r="R386"/>
      <c r="S386"/>
      <c r="T386"/>
    </row>
    <row r="387" spans="1:20" s="100" customFormat="1">
      <c r="A387"/>
      <c r="C387"/>
      <c r="E387"/>
      <c r="F387"/>
      <c r="G387"/>
      <c r="H387"/>
      <c r="I387"/>
      <c r="J387"/>
      <c r="K387"/>
      <c r="L387"/>
      <c r="M387"/>
      <c r="N387"/>
      <c r="O387"/>
      <c r="P387"/>
      <c r="Q387"/>
      <c r="R387"/>
      <c r="S387"/>
      <c r="T387"/>
    </row>
    <row r="388" spans="1:20" s="100" customFormat="1">
      <c r="A388"/>
      <c r="C388"/>
      <c r="E388"/>
      <c r="F388"/>
      <c r="G388"/>
      <c r="H388"/>
      <c r="I388"/>
      <c r="J388"/>
      <c r="K388"/>
      <c r="L388"/>
      <c r="M388"/>
      <c r="N388"/>
      <c r="O388"/>
      <c r="P388"/>
      <c r="Q388"/>
      <c r="R388"/>
      <c r="S388"/>
      <c r="T388"/>
    </row>
    <row r="389" spans="1:20" s="100" customFormat="1">
      <c r="A389"/>
      <c r="C389"/>
      <c r="E389"/>
      <c r="F389"/>
      <c r="G389"/>
      <c r="H389"/>
      <c r="I389"/>
      <c r="J389"/>
      <c r="K389"/>
      <c r="L389"/>
      <c r="M389"/>
      <c r="N389"/>
      <c r="O389"/>
      <c r="P389"/>
      <c r="Q389"/>
      <c r="R389"/>
      <c r="S389"/>
      <c r="T389"/>
    </row>
    <row r="390" spans="1:20" s="100" customFormat="1">
      <c r="A390"/>
      <c r="C390"/>
      <c r="E390"/>
      <c r="F390"/>
      <c r="G390"/>
      <c r="H390"/>
      <c r="I390"/>
      <c r="J390"/>
      <c r="K390"/>
      <c r="L390"/>
      <c r="M390"/>
      <c r="N390"/>
      <c r="O390"/>
      <c r="P390"/>
      <c r="Q390"/>
      <c r="R390"/>
      <c r="S390"/>
      <c r="T390"/>
    </row>
    <row r="391" spans="1:20" s="100" customFormat="1">
      <c r="A391"/>
      <c r="C391"/>
      <c r="E391"/>
      <c r="F391"/>
      <c r="G391"/>
      <c r="H391"/>
      <c r="I391"/>
      <c r="J391"/>
      <c r="K391"/>
      <c r="L391"/>
      <c r="M391"/>
      <c r="N391"/>
      <c r="O391"/>
      <c r="P391"/>
      <c r="Q391"/>
      <c r="R391"/>
      <c r="S391"/>
      <c r="T391"/>
    </row>
    <row r="392" spans="1:20" s="100" customFormat="1">
      <c r="A392"/>
      <c r="C392"/>
      <c r="E392"/>
      <c r="F392"/>
      <c r="G392"/>
      <c r="H392"/>
      <c r="I392"/>
      <c r="J392"/>
      <c r="K392"/>
      <c r="L392"/>
      <c r="M392"/>
      <c r="N392"/>
      <c r="O392"/>
      <c r="P392"/>
      <c r="Q392"/>
      <c r="R392"/>
      <c r="S392"/>
      <c r="T392"/>
    </row>
    <row r="393" spans="1:20" s="100" customFormat="1">
      <c r="A393"/>
      <c r="C393"/>
      <c r="E393"/>
      <c r="F393"/>
      <c r="G393"/>
      <c r="H393"/>
      <c r="I393"/>
      <c r="J393"/>
      <c r="K393"/>
      <c r="L393"/>
      <c r="M393"/>
      <c r="N393"/>
      <c r="O393"/>
      <c r="P393"/>
      <c r="Q393"/>
      <c r="R393"/>
      <c r="S393"/>
      <c r="T393"/>
    </row>
    <row r="394" spans="1:20" s="100" customFormat="1">
      <c r="A394"/>
      <c r="C394"/>
      <c r="E394"/>
      <c r="F394"/>
      <c r="G394"/>
      <c r="H394"/>
      <c r="I394"/>
      <c r="J394"/>
      <c r="K394"/>
      <c r="L394"/>
      <c r="M394"/>
      <c r="N394"/>
      <c r="O394"/>
      <c r="P394"/>
      <c r="Q394"/>
      <c r="R394"/>
      <c r="S394"/>
      <c r="T394"/>
    </row>
    <row r="395" spans="1:20" s="100" customFormat="1">
      <c r="A395"/>
      <c r="C395"/>
      <c r="E395"/>
      <c r="F395"/>
      <c r="G395"/>
      <c r="H395"/>
      <c r="I395"/>
      <c r="J395"/>
      <c r="K395"/>
      <c r="L395"/>
      <c r="M395"/>
      <c r="N395"/>
      <c r="O395"/>
      <c r="P395"/>
      <c r="Q395"/>
      <c r="R395"/>
      <c r="S395"/>
      <c r="T395"/>
    </row>
    <row r="396" spans="1:20" s="100" customFormat="1">
      <c r="A396"/>
      <c r="C396"/>
      <c r="E396"/>
      <c r="F396"/>
      <c r="G396"/>
      <c r="H396"/>
      <c r="I396"/>
      <c r="J396"/>
      <c r="K396"/>
      <c r="L396"/>
      <c r="M396"/>
      <c r="N396"/>
      <c r="O396"/>
      <c r="P396"/>
      <c r="Q396"/>
      <c r="R396"/>
      <c r="S396"/>
      <c r="T396"/>
    </row>
    <row r="397" spans="1:20" s="100" customFormat="1">
      <c r="A397"/>
      <c r="C397"/>
      <c r="E397"/>
      <c r="F397"/>
      <c r="G397"/>
      <c r="H397"/>
      <c r="I397"/>
      <c r="J397"/>
      <c r="K397"/>
      <c r="L397"/>
      <c r="M397"/>
      <c r="N397"/>
      <c r="O397"/>
      <c r="P397"/>
      <c r="Q397"/>
      <c r="R397"/>
      <c r="S397"/>
      <c r="T397"/>
    </row>
    <row r="398" spans="1:20" s="100" customFormat="1">
      <c r="A398"/>
      <c r="C398"/>
      <c r="E398"/>
      <c r="F398"/>
      <c r="G398"/>
      <c r="H398"/>
      <c r="I398"/>
      <c r="J398"/>
      <c r="K398"/>
      <c r="L398"/>
      <c r="M398"/>
      <c r="N398"/>
      <c r="O398"/>
      <c r="P398"/>
      <c r="Q398"/>
      <c r="R398"/>
      <c r="S398"/>
      <c r="T398"/>
    </row>
    <row r="399" spans="1:20" s="100" customFormat="1">
      <c r="A399"/>
      <c r="C399"/>
      <c r="E399"/>
      <c r="F399"/>
      <c r="G399"/>
      <c r="H399"/>
      <c r="I399"/>
      <c r="J399"/>
      <c r="K399"/>
      <c r="L399"/>
      <c r="M399"/>
      <c r="N399"/>
      <c r="O399"/>
      <c r="P399"/>
      <c r="Q399"/>
      <c r="R399"/>
      <c r="S399"/>
      <c r="T399"/>
    </row>
    <row r="400" spans="1:20" s="100" customFormat="1">
      <c r="A400"/>
      <c r="C400"/>
      <c r="E400"/>
      <c r="F400"/>
      <c r="G400"/>
      <c r="H400"/>
      <c r="I400"/>
      <c r="J400"/>
      <c r="K400"/>
      <c r="L400"/>
      <c r="M400"/>
      <c r="N400"/>
      <c r="O400"/>
      <c r="P400"/>
      <c r="Q400"/>
      <c r="R400"/>
      <c r="S400"/>
      <c r="T400"/>
    </row>
    <row r="401" spans="1:20" s="100" customFormat="1">
      <c r="A401"/>
      <c r="C401"/>
      <c r="E401"/>
      <c r="F401"/>
      <c r="G401"/>
      <c r="H401"/>
      <c r="I401"/>
      <c r="J401"/>
      <c r="K401"/>
      <c r="L401"/>
      <c r="M401"/>
      <c r="N401"/>
      <c r="O401"/>
      <c r="P401"/>
      <c r="Q401"/>
      <c r="R401"/>
      <c r="S401"/>
      <c r="T401"/>
    </row>
    <row r="402" spans="1:20" s="100" customFormat="1">
      <c r="A402"/>
      <c r="C402"/>
      <c r="E402"/>
      <c r="F402"/>
      <c r="G402"/>
      <c r="H402"/>
      <c r="I402"/>
      <c r="J402"/>
      <c r="K402"/>
      <c r="L402"/>
      <c r="M402"/>
      <c r="N402"/>
      <c r="O402"/>
      <c r="P402"/>
      <c r="Q402"/>
      <c r="R402"/>
      <c r="S402"/>
      <c r="T402"/>
    </row>
    <row r="403" spans="1:20" s="100" customFormat="1">
      <c r="A403"/>
      <c r="C403"/>
      <c r="E403"/>
      <c r="F403"/>
      <c r="G403"/>
      <c r="H403"/>
      <c r="I403"/>
      <c r="J403"/>
      <c r="K403"/>
      <c r="L403"/>
      <c r="M403"/>
      <c r="N403"/>
      <c r="O403"/>
      <c r="P403"/>
      <c r="Q403"/>
      <c r="R403"/>
      <c r="S403"/>
      <c r="T403"/>
    </row>
    <row r="404" spans="1:20" s="100" customFormat="1">
      <c r="A404"/>
      <c r="C404"/>
      <c r="E404"/>
      <c r="F404"/>
      <c r="G404"/>
      <c r="H404"/>
      <c r="I404"/>
      <c r="J404"/>
      <c r="K404"/>
      <c r="L404"/>
      <c r="M404"/>
      <c r="N404"/>
      <c r="O404"/>
      <c r="P404"/>
      <c r="Q404"/>
      <c r="R404"/>
      <c r="S404"/>
      <c r="T404"/>
    </row>
    <row r="405" spans="1:20" s="100" customFormat="1">
      <c r="A405"/>
      <c r="C405"/>
      <c r="E405"/>
      <c r="F405"/>
      <c r="G405"/>
      <c r="H405"/>
      <c r="I405"/>
      <c r="J405"/>
      <c r="K405"/>
      <c r="L405"/>
      <c r="M405"/>
      <c r="N405"/>
      <c r="O405"/>
      <c r="P405"/>
      <c r="Q405"/>
      <c r="R405"/>
      <c r="S405"/>
      <c r="T405"/>
    </row>
    <row r="406" spans="1:20" s="100" customFormat="1">
      <c r="A406"/>
      <c r="C406"/>
      <c r="E406"/>
      <c r="F406"/>
      <c r="G406"/>
      <c r="H406"/>
      <c r="I406"/>
      <c r="J406"/>
      <c r="K406"/>
      <c r="L406"/>
      <c r="M406"/>
      <c r="N406"/>
      <c r="O406"/>
      <c r="P406"/>
      <c r="Q406"/>
      <c r="R406"/>
      <c r="S406"/>
      <c r="T406"/>
    </row>
    <row r="407" spans="1:20" s="100" customFormat="1">
      <c r="A407"/>
      <c r="C407"/>
      <c r="E407"/>
      <c r="F407"/>
      <c r="G407"/>
      <c r="H407"/>
      <c r="I407"/>
      <c r="J407"/>
      <c r="K407"/>
      <c r="L407"/>
      <c r="M407"/>
      <c r="N407"/>
      <c r="O407"/>
      <c r="P407"/>
      <c r="Q407"/>
      <c r="R407"/>
      <c r="S407"/>
      <c r="T407"/>
    </row>
    <row r="408" spans="1:20" s="100" customFormat="1">
      <c r="A408"/>
      <c r="C408"/>
      <c r="E408"/>
      <c r="F408"/>
      <c r="G408"/>
      <c r="H408"/>
      <c r="I408"/>
      <c r="J408"/>
      <c r="K408"/>
      <c r="L408"/>
      <c r="M408"/>
      <c r="N408"/>
      <c r="O408"/>
      <c r="P408"/>
      <c r="Q408"/>
      <c r="R408"/>
      <c r="S408"/>
      <c r="T408"/>
    </row>
    <row r="409" spans="1:20" s="100" customFormat="1">
      <c r="A409"/>
      <c r="C409"/>
      <c r="E409"/>
      <c r="F409"/>
      <c r="G409"/>
      <c r="H409"/>
      <c r="I409"/>
      <c r="J409"/>
      <c r="K409"/>
      <c r="L409"/>
      <c r="M409"/>
      <c r="N409"/>
      <c r="O409"/>
      <c r="P409"/>
      <c r="Q409"/>
      <c r="R409"/>
      <c r="S409"/>
      <c r="T409"/>
    </row>
    <row r="410" spans="1:20" s="100" customFormat="1">
      <c r="A410"/>
      <c r="C410"/>
      <c r="E410"/>
      <c r="F410"/>
      <c r="G410"/>
      <c r="H410"/>
      <c r="I410"/>
      <c r="J410"/>
      <c r="K410"/>
      <c r="L410"/>
      <c r="M410"/>
      <c r="N410"/>
      <c r="O410"/>
      <c r="P410"/>
      <c r="Q410"/>
      <c r="R410"/>
      <c r="S410"/>
      <c r="T410"/>
    </row>
    <row r="411" spans="1:20" s="100" customFormat="1">
      <c r="A411"/>
      <c r="C411"/>
      <c r="E411"/>
      <c r="F411"/>
      <c r="G411"/>
      <c r="H411"/>
      <c r="I411"/>
      <c r="J411"/>
      <c r="K411"/>
      <c r="L411"/>
      <c r="M411"/>
      <c r="N411"/>
      <c r="O411"/>
      <c r="P411"/>
      <c r="Q411"/>
      <c r="R411"/>
      <c r="S411"/>
      <c r="T411"/>
    </row>
    <row r="412" spans="1:20" s="100" customFormat="1">
      <c r="A412"/>
      <c r="C412"/>
      <c r="E412"/>
      <c r="F412"/>
      <c r="G412"/>
      <c r="H412"/>
      <c r="I412"/>
      <c r="J412"/>
      <c r="K412"/>
      <c r="L412"/>
      <c r="M412"/>
      <c r="N412"/>
      <c r="O412"/>
      <c r="P412"/>
      <c r="Q412"/>
      <c r="R412"/>
      <c r="S412"/>
      <c r="T412"/>
    </row>
    <row r="413" spans="1:20" s="100" customFormat="1">
      <c r="A413"/>
      <c r="C413"/>
      <c r="E413"/>
      <c r="F413"/>
      <c r="G413"/>
      <c r="H413"/>
      <c r="I413"/>
      <c r="J413"/>
      <c r="K413"/>
      <c r="L413"/>
      <c r="M413"/>
      <c r="N413"/>
      <c r="O413"/>
      <c r="P413"/>
      <c r="Q413"/>
      <c r="R413"/>
      <c r="S413"/>
      <c r="T413"/>
    </row>
    <row r="414" spans="1:20" s="100" customFormat="1">
      <c r="A414"/>
      <c r="C414"/>
      <c r="E414"/>
      <c r="F414"/>
      <c r="G414"/>
      <c r="H414"/>
      <c r="I414"/>
      <c r="J414"/>
      <c r="K414"/>
      <c r="L414"/>
      <c r="M414"/>
      <c r="N414"/>
      <c r="O414"/>
      <c r="P414"/>
      <c r="Q414"/>
      <c r="R414"/>
      <c r="S414"/>
      <c r="T414"/>
    </row>
    <row r="415" spans="1:20" s="100" customFormat="1">
      <c r="A415"/>
      <c r="C415"/>
      <c r="E415"/>
      <c r="F415"/>
      <c r="G415"/>
      <c r="H415"/>
      <c r="I415"/>
      <c r="J415"/>
      <c r="K415"/>
      <c r="L415"/>
      <c r="M415"/>
      <c r="N415"/>
      <c r="O415"/>
      <c r="P415"/>
      <c r="Q415"/>
      <c r="R415"/>
      <c r="S415"/>
      <c r="T415"/>
    </row>
    <row r="416" spans="1:20" s="100" customFormat="1">
      <c r="A416"/>
      <c r="C416"/>
      <c r="E416"/>
      <c r="F416"/>
      <c r="G416"/>
      <c r="H416"/>
      <c r="I416"/>
      <c r="J416"/>
      <c r="K416"/>
      <c r="L416"/>
      <c r="M416"/>
      <c r="N416"/>
      <c r="O416"/>
      <c r="P416"/>
      <c r="Q416"/>
      <c r="R416"/>
      <c r="S416"/>
      <c r="T416"/>
    </row>
    <row r="417" spans="1:20" s="100" customFormat="1">
      <c r="A417"/>
      <c r="C417"/>
      <c r="E417"/>
      <c r="F417"/>
      <c r="G417"/>
      <c r="H417"/>
      <c r="I417"/>
      <c r="J417"/>
      <c r="K417"/>
      <c r="L417"/>
      <c r="M417"/>
      <c r="N417"/>
      <c r="O417"/>
      <c r="P417"/>
      <c r="Q417"/>
      <c r="R417"/>
      <c r="S417"/>
      <c r="T417"/>
    </row>
    <row r="418" spans="1:20" s="100" customFormat="1">
      <c r="A418"/>
      <c r="C418"/>
      <c r="E418"/>
      <c r="F418"/>
      <c r="G418"/>
      <c r="H418"/>
      <c r="I418"/>
      <c r="J418"/>
      <c r="K418"/>
      <c r="L418"/>
      <c r="M418"/>
      <c r="N418"/>
      <c r="O418"/>
      <c r="P418"/>
      <c r="Q418"/>
      <c r="R418"/>
      <c r="S418"/>
      <c r="T418"/>
    </row>
    <row r="419" spans="1:20" s="100" customFormat="1">
      <c r="A419"/>
      <c r="C419"/>
      <c r="E419"/>
      <c r="F419"/>
      <c r="G419"/>
      <c r="H419"/>
      <c r="I419"/>
      <c r="J419"/>
      <c r="K419"/>
      <c r="L419"/>
      <c r="M419"/>
      <c r="N419"/>
      <c r="O419"/>
      <c r="P419"/>
      <c r="Q419"/>
      <c r="R419"/>
      <c r="S419"/>
      <c r="T419"/>
    </row>
    <row r="420" spans="1:20" s="100" customFormat="1">
      <c r="A420"/>
      <c r="C420"/>
      <c r="E420"/>
      <c r="F420"/>
      <c r="G420"/>
      <c r="H420"/>
      <c r="I420"/>
      <c r="J420"/>
      <c r="K420"/>
      <c r="L420"/>
      <c r="M420"/>
      <c r="N420"/>
      <c r="O420"/>
      <c r="P420"/>
      <c r="Q420"/>
      <c r="R420"/>
      <c r="S420"/>
      <c r="T420"/>
    </row>
    <row r="421" spans="1:20" s="100" customFormat="1">
      <c r="A421"/>
      <c r="C421"/>
      <c r="E421"/>
      <c r="F421"/>
      <c r="G421"/>
      <c r="H421"/>
      <c r="I421"/>
      <c r="J421"/>
      <c r="K421"/>
      <c r="L421"/>
      <c r="M421"/>
      <c r="N421"/>
      <c r="O421"/>
      <c r="P421"/>
      <c r="Q421"/>
      <c r="R421"/>
      <c r="S421"/>
      <c r="T421"/>
    </row>
    <row r="422" spans="1:20" s="100" customFormat="1">
      <c r="A422"/>
      <c r="C422"/>
      <c r="E422"/>
      <c r="F422"/>
      <c r="G422"/>
      <c r="H422"/>
      <c r="I422"/>
      <c r="J422"/>
      <c r="K422"/>
      <c r="L422"/>
      <c r="M422"/>
      <c r="N422"/>
      <c r="O422"/>
      <c r="P422"/>
      <c r="Q422"/>
      <c r="R422"/>
      <c r="S422"/>
      <c r="T422"/>
    </row>
    <row r="423" spans="1:20" s="100" customFormat="1">
      <c r="A423"/>
      <c r="C423"/>
      <c r="E423"/>
      <c r="F423"/>
      <c r="G423"/>
      <c r="H423"/>
      <c r="I423"/>
      <c r="J423"/>
      <c r="K423"/>
      <c r="L423"/>
      <c r="M423"/>
      <c r="N423"/>
      <c r="O423"/>
      <c r="P423"/>
      <c r="Q423"/>
      <c r="R423"/>
      <c r="S423"/>
      <c r="T423"/>
    </row>
    <row r="424" spans="1:20" s="100" customFormat="1">
      <c r="A424"/>
      <c r="C424"/>
      <c r="E424"/>
      <c r="F424"/>
      <c r="G424"/>
      <c r="H424"/>
      <c r="I424"/>
      <c r="J424"/>
      <c r="K424"/>
      <c r="L424"/>
      <c r="M424"/>
      <c r="N424"/>
      <c r="O424"/>
      <c r="P424"/>
      <c r="Q424"/>
      <c r="R424"/>
      <c r="S424"/>
      <c r="T424"/>
    </row>
    <row r="425" spans="1:20" s="100" customFormat="1">
      <c r="A425"/>
      <c r="C425"/>
      <c r="E425"/>
      <c r="F425"/>
      <c r="G425"/>
      <c r="H425"/>
      <c r="I425"/>
      <c r="J425"/>
      <c r="K425"/>
      <c r="L425"/>
      <c r="M425"/>
      <c r="N425"/>
      <c r="O425"/>
      <c r="P425"/>
      <c r="Q425"/>
      <c r="R425"/>
      <c r="S425"/>
      <c r="T425"/>
    </row>
    <row r="426" spans="1:20" s="100" customFormat="1">
      <c r="A426"/>
      <c r="C426"/>
      <c r="E426"/>
      <c r="F426"/>
      <c r="G426"/>
      <c r="H426"/>
      <c r="I426"/>
      <c r="J426"/>
      <c r="K426"/>
      <c r="L426"/>
      <c r="M426"/>
      <c r="N426"/>
      <c r="O426"/>
      <c r="P426"/>
      <c r="Q426"/>
      <c r="R426"/>
      <c r="S426"/>
      <c r="T426"/>
    </row>
    <row r="427" spans="1:20" s="100" customFormat="1">
      <c r="A427"/>
      <c r="C427"/>
      <c r="E427"/>
      <c r="F427"/>
      <c r="G427"/>
      <c r="H427"/>
      <c r="I427"/>
      <c r="J427"/>
      <c r="K427"/>
      <c r="L427"/>
      <c r="M427"/>
      <c r="N427"/>
      <c r="O427"/>
      <c r="P427"/>
      <c r="Q427"/>
      <c r="R427"/>
      <c r="S427"/>
      <c r="T427"/>
    </row>
    <row r="428" spans="1:20" s="100" customFormat="1">
      <c r="A428"/>
      <c r="C428"/>
      <c r="E428"/>
      <c r="F428"/>
      <c r="G428"/>
      <c r="H428"/>
      <c r="I428"/>
      <c r="J428"/>
      <c r="K428"/>
      <c r="L428"/>
      <c r="M428"/>
      <c r="N428"/>
      <c r="O428"/>
      <c r="P428"/>
      <c r="Q428"/>
      <c r="R428"/>
      <c r="S428"/>
      <c r="T428"/>
    </row>
    <row r="429" spans="1:20" s="100" customFormat="1">
      <c r="A429"/>
      <c r="C429"/>
      <c r="E429"/>
      <c r="F429"/>
      <c r="G429"/>
      <c r="H429"/>
      <c r="I429"/>
      <c r="J429"/>
      <c r="K429"/>
      <c r="L429"/>
      <c r="M429"/>
      <c r="N429"/>
      <c r="O429"/>
      <c r="P429"/>
      <c r="Q429"/>
      <c r="R429"/>
      <c r="S429"/>
      <c r="T429"/>
    </row>
    <row r="430" spans="1:20" s="100" customFormat="1">
      <c r="A430"/>
      <c r="C430"/>
      <c r="E430"/>
      <c r="F430"/>
      <c r="G430"/>
      <c r="H430"/>
      <c r="I430"/>
      <c r="J430"/>
      <c r="K430"/>
      <c r="L430"/>
      <c r="M430"/>
      <c r="N430"/>
      <c r="O430"/>
      <c r="P430"/>
      <c r="Q430"/>
      <c r="R430"/>
      <c r="S430"/>
      <c r="T430"/>
    </row>
    <row r="431" spans="1:20" s="100" customFormat="1">
      <c r="A431"/>
      <c r="C431"/>
      <c r="E431"/>
      <c r="F431"/>
      <c r="G431"/>
      <c r="H431"/>
      <c r="I431"/>
      <c r="J431"/>
      <c r="K431"/>
      <c r="L431"/>
      <c r="M431"/>
      <c r="N431"/>
      <c r="O431"/>
      <c r="P431"/>
      <c r="Q431"/>
      <c r="R431"/>
      <c r="S431"/>
      <c r="T431"/>
    </row>
    <row r="432" spans="1:20" s="100" customFormat="1">
      <c r="A432"/>
      <c r="C432"/>
      <c r="E432"/>
      <c r="F432"/>
      <c r="G432"/>
      <c r="H432"/>
      <c r="I432"/>
      <c r="J432"/>
      <c r="K432"/>
      <c r="L432"/>
      <c r="M432"/>
      <c r="N432"/>
      <c r="O432"/>
      <c r="P432"/>
      <c r="Q432"/>
      <c r="R432"/>
      <c r="S432"/>
      <c r="T432"/>
    </row>
    <row r="433" spans="1:20" s="100" customFormat="1">
      <c r="A433"/>
      <c r="C433"/>
      <c r="E433"/>
      <c r="F433"/>
      <c r="G433"/>
      <c r="H433"/>
      <c r="I433"/>
      <c r="J433"/>
      <c r="K433"/>
      <c r="L433"/>
      <c r="M433"/>
      <c r="N433"/>
      <c r="O433"/>
      <c r="P433"/>
      <c r="Q433"/>
      <c r="R433"/>
      <c r="S433"/>
      <c r="T433"/>
    </row>
    <row r="434" spans="1:20" s="100" customFormat="1">
      <c r="A434"/>
      <c r="C434"/>
      <c r="E434"/>
      <c r="F434"/>
      <c r="G434"/>
      <c r="H434"/>
      <c r="I434"/>
      <c r="J434"/>
      <c r="K434"/>
      <c r="L434"/>
      <c r="M434"/>
      <c r="N434"/>
      <c r="O434"/>
      <c r="P434"/>
      <c r="Q434"/>
      <c r="R434"/>
      <c r="S434"/>
      <c r="T434"/>
    </row>
    <row r="435" spans="1:20" s="100" customFormat="1">
      <c r="A435"/>
      <c r="C435"/>
      <c r="E435"/>
      <c r="F435"/>
      <c r="G435"/>
      <c r="H435"/>
      <c r="I435"/>
      <c r="J435"/>
      <c r="K435"/>
      <c r="L435"/>
      <c r="M435"/>
      <c r="N435"/>
      <c r="O435"/>
      <c r="P435"/>
      <c r="Q435"/>
      <c r="R435"/>
      <c r="S435"/>
      <c r="T435"/>
    </row>
  </sheetData>
  <sheetProtection selectLockedCells="1" selectUnlockedCells="1"/>
  <autoFilter ref="A7:C237" xr:uid="{6283B240-0D09-4E93-9375-FD9398109C20}">
    <filterColumn colId="0">
      <filters>
        <filter val="Inglewood 38"/>
      </filters>
    </filterColumn>
    <filterColumn colId="2">
      <filters>
        <filter val="Echuca"/>
      </filters>
    </filterColumn>
  </autoFilter>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F8584-58FC-4B70-AEE6-EEAC85458CA5}">
  <sheetPr codeName="Sheet25" filterMode="1">
    <tabColor rgb="FF009900"/>
  </sheetPr>
  <dimension ref="A1:O43"/>
  <sheetViews>
    <sheetView workbookViewId="0">
      <selection activeCell="A16" sqref="A16"/>
    </sheetView>
  </sheetViews>
  <sheetFormatPr defaultRowHeight="15"/>
  <cols>
    <col min="1" max="1" width="16.85546875" bestFit="1" customWidth="1"/>
    <col min="2" max="5" width="11.42578125" customWidth="1"/>
    <col min="6" max="6" width="24" customWidth="1"/>
    <col min="7" max="7" width="15.5703125" bestFit="1" customWidth="1"/>
    <col min="8" max="8" width="12.7109375" customWidth="1"/>
    <col min="9" max="9" width="10.7109375" hidden="1" customWidth="1"/>
    <col min="10" max="10" width="12.7109375" customWidth="1"/>
  </cols>
  <sheetData>
    <row r="1" spans="1:15" ht="23.25">
      <c r="A1" s="99" t="s">
        <v>219</v>
      </c>
    </row>
    <row r="2" spans="1:15" ht="18.75">
      <c r="A2" s="107" t="s">
        <v>220</v>
      </c>
      <c r="B2" s="101" t="s">
        <v>221</v>
      </c>
      <c r="C2" s="101"/>
      <c r="D2" s="101" t="s">
        <v>1333</v>
      </c>
      <c r="E2" s="101"/>
      <c r="F2" s="101"/>
      <c r="G2" s="107" t="s">
        <v>1375</v>
      </c>
      <c r="N2" t="s">
        <v>1207</v>
      </c>
      <c r="O2">
        <f>+'Yard Items'!D9</f>
        <v>140</v>
      </c>
    </row>
    <row r="3" spans="1:15">
      <c r="A3" s="106"/>
      <c r="B3" s="100"/>
      <c r="C3" s="100"/>
      <c r="D3" s="524">
        <v>45497</v>
      </c>
      <c r="E3" s="100"/>
      <c r="F3" s="100"/>
      <c r="H3" t="s">
        <v>1376</v>
      </c>
      <c r="I3" t="s">
        <v>222</v>
      </c>
      <c r="J3" t="s">
        <v>1377</v>
      </c>
    </row>
    <row r="4" spans="1:15" hidden="1">
      <c r="A4" t="s">
        <v>223</v>
      </c>
      <c r="B4" s="100">
        <f>+'Travel Working'!AH9</f>
        <v>40530</v>
      </c>
      <c r="C4" s="100"/>
      <c r="D4" s="100"/>
      <c r="E4" s="100"/>
      <c r="F4" s="100"/>
      <c r="G4" t="str">
        <f t="shared" ref="G4:G39" si="0">+A4</f>
        <v>ALEXANDRA</v>
      </c>
      <c r="H4" s="100">
        <f>+O2+5</f>
        <v>145</v>
      </c>
      <c r="I4" s="100">
        <f t="shared" ref="I4:I39" si="1">+H4*50</f>
        <v>7250</v>
      </c>
      <c r="J4" s="100">
        <f>+H4+50+50</f>
        <v>245</v>
      </c>
    </row>
    <row r="5" spans="1:15" hidden="1">
      <c r="A5" t="s">
        <v>224</v>
      </c>
      <c r="B5" s="100">
        <f>+'Travel Working'!AH10</f>
        <v>14720</v>
      </c>
      <c r="C5" s="100"/>
      <c r="D5" s="100"/>
      <c r="E5" s="100"/>
      <c r="F5" s="100"/>
      <c r="G5" t="str">
        <f t="shared" si="0"/>
        <v>AVENEL</v>
      </c>
      <c r="H5" s="100">
        <f>+O2</f>
        <v>140</v>
      </c>
      <c r="I5" s="100">
        <f t="shared" si="1"/>
        <v>7000</v>
      </c>
      <c r="J5" s="100">
        <f t="shared" ref="J5:J38" si="2">+H5+50</f>
        <v>190</v>
      </c>
    </row>
    <row r="6" spans="1:15" hidden="1">
      <c r="A6" t="s">
        <v>225</v>
      </c>
      <c r="B6" s="100">
        <f>+B18+'Travel Working'!D107</f>
        <v>57990</v>
      </c>
      <c r="C6" s="404"/>
      <c r="D6" s="404"/>
      <c r="E6" s="404"/>
      <c r="F6" s="404"/>
      <c r="G6" t="str">
        <f t="shared" si="0"/>
        <v>BARHAM</v>
      </c>
      <c r="H6" s="100">
        <f>+O2+15</f>
        <v>155</v>
      </c>
      <c r="I6" s="100">
        <f t="shared" si="1"/>
        <v>7750</v>
      </c>
      <c r="J6" s="100">
        <f t="shared" si="2"/>
        <v>205</v>
      </c>
    </row>
    <row r="7" spans="1:15" hidden="1">
      <c r="A7" t="s">
        <v>1153</v>
      </c>
      <c r="B7" s="100">
        <f>+B9+'Travel Working'!D107</f>
        <v>21970</v>
      </c>
      <c r="C7" s="100"/>
      <c r="D7" s="100"/>
      <c r="E7" s="100"/>
      <c r="F7" s="100"/>
      <c r="G7" t="str">
        <f t="shared" si="0"/>
        <v>BAROOGA</v>
      </c>
      <c r="H7" s="100">
        <f>+O2</f>
        <v>140</v>
      </c>
      <c r="I7" s="100">
        <f t="shared" si="1"/>
        <v>7000</v>
      </c>
      <c r="J7" s="100">
        <f t="shared" si="2"/>
        <v>190</v>
      </c>
    </row>
    <row r="8" spans="1:15" hidden="1">
      <c r="A8" t="s">
        <v>226</v>
      </c>
      <c r="B8" s="100">
        <f>+'Travel Working'!AH11</f>
        <v>13900</v>
      </c>
      <c r="C8" s="100"/>
      <c r="D8" s="100"/>
      <c r="E8" s="100"/>
      <c r="F8" s="100"/>
      <c r="G8" t="str">
        <f t="shared" si="0"/>
        <v>BENALLA</v>
      </c>
      <c r="H8" s="100">
        <f>+O2+5</f>
        <v>145</v>
      </c>
      <c r="I8" s="100">
        <f t="shared" si="1"/>
        <v>7250</v>
      </c>
      <c r="J8" s="100">
        <f t="shared" si="2"/>
        <v>195</v>
      </c>
    </row>
    <row r="9" spans="1:15" hidden="1">
      <c r="A9" t="s">
        <v>227</v>
      </c>
      <c r="B9" s="100">
        <f>+'Travel Working'!AH12</f>
        <v>13770</v>
      </c>
      <c r="C9" s="100"/>
      <c r="D9" s="100"/>
      <c r="E9" s="100"/>
      <c r="F9" s="100"/>
      <c r="G9" t="str">
        <f t="shared" si="0"/>
        <v>COBRAM</v>
      </c>
      <c r="H9" s="100">
        <f>+O2</f>
        <v>140</v>
      </c>
      <c r="I9" s="100">
        <f t="shared" si="1"/>
        <v>7000</v>
      </c>
      <c r="J9" s="100">
        <f t="shared" si="2"/>
        <v>190</v>
      </c>
    </row>
    <row r="10" spans="1:15" hidden="1">
      <c r="A10" t="s">
        <v>228</v>
      </c>
      <c r="B10" s="100">
        <f>+'Travel Working'!AH13</f>
        <v>46510</v>
      </c>
      <c r="C10" s="100"/>
      <c r="D10" s="100"/>
      <c r="E10" s="100"/>
      <c r="F10" s="100"/>
      <c r="G10" t="str">
        <f t="shared" si="0"/>
        <v>COHUNA</v>
      </c>
      <c r="H10" s="100">
        <f>+O2+15</f>
        <v>155</v>
      </c>
      <c r="I10" s="100">
        <f t="shared" si="1"/>
        <v>7750</v>
      </c>
      <c r="J10" s="100">
        <f t="shared" si="2"/>
        <v>205</v>
      </c>
    </row>
    <row r="11" spans="1:15" hidden="1">
      <c r="A11" t="s">
        <v>229</v>
      </c>
      <c r="B11" s="100">
        <f>+'Travel Working'!AH14</f>
        <v>56890</v>
      </c>
      <c r="C11" s="100"/>
      <c r="D11" s="100"/>
      <c r="E11" s="100"/>
      <c r="F11" s="100"/>
      <c r="G11" t="str">
        <f t="shared" si="0"/>
        <v>DENILIQUIN</v>
      </c>
      <c r="H11" s="100">
        <f>+O2+15</f>
        <v>155</v>
      </c>
      <c r="I11" s="100">
        <f t="shared" si="1"/>
        <v>7750</v>
      </c>
      <c r="J11" s="100">
        <f>+H11+50+40</f>
        <v>245</v>
      </c>
    </row>
    <row r="12" spans="1:15" hidden="1">
      <c r="A12" t="s">
        <v>230</v>
      </c>
      <c r="B12" s="100">
        <v>0</v>
      </c>
      <c r="C12" s="100"/>
      <c r="D12" s="100"/>
      <c r="E12" s="100"/>
      <c r="F12" s="100"/>
      <c r="G12" t="str">
        <f t="shared" si="0"/>
        <v>DOOKIE</v>
      </c>
      <c r="H12" s="100">
        <f>+O2</f>
        <v>140</v>
      </c>
      <c r="I12" s="100">
        <f t="shared" si="1"/>
        <v>7000</v>
      </c>
      <c r="J12" s="100">
        <f t="shared" si="2"/>
        <v>190</v>
      </c>
    </row>
    <row r="13" spans="1:15">
      <c r="A13" t="s">
        <v>213</v>
      </c>
      <c r="B13" s="100">
        <v>0</v>
      </c>
      <c r="C13" s="100"/>
      <c r="D13" s="100"/>
      <c r="E13" s="100"/>
      <c r="F13" s="100"/>
      <c r="G13" t="str">
        <f t="shared" si="0"/>
        <v>ECHUCA</v>
      </c>
      <c r="H13" s="100">
        <f>+O2</f>
        <v>140</v>
      </c>
      <c r="I13" s="100">
        <f t="shared" si="1"/>
        <v>7000</v>
      </c>
      <c r="J13" s="100">
        <f t="shared" si="2"/>
        <v>190</v>
      </c>
    </row>
    <row r="14" spans="1:15" hidden="1">
      <c r="A14" t="s">
        <v>231</v>
      </c>
      <c r="B14" s="100">
        <f>+'Travel Working'!AH16</f>
        <v>10730</v>
      </c>
      <c r="C14" s="100"/>
      <c r="D14" s="100"/>
      <c r="E14" s="100"/>
      <c r="F14" s="100"/>
      <c r="G14" t="str">
        <f t="shared" si="0"/>
        <v>EUROA</v>
      </c>
      <c r="H14" s="100">
        <f>+O2+5</f>
        <v>145</v>
      </c>
      <c r="I14" s="100">
        <f t="shared" si="1"/>
        <v>7250</v>
      </c>
      <c r="J14" s="100">
        <f t="shared" si="2"/>
        <v>195</v>
      </c>
    </row>
    <row r="15" spans="1:15" hidden="1">
      <c r="A15" t="s">
        <v>232</v>
      </c>
      <c r="B15" s="100">
        <f>+'Travel Working'!AH17</f>
        <v>40280</v>
      </c>
      <c r="C15" s="100"/>
      <c r="D15" s="100"/>
      <c r="E15" s="100"/>
      <c r="F15" s="100"/>
      <c r="G15" t="str">
        <f t="shared" si="0"/>
        <v>FINLEY</v>
      </c>
      <c r="H15" s="100">
        <f>+O2+15</f>
        <v>155</v>
      </c>
      <c r="I15" s="100">
        <f t="shared" si="1"/>
        <v>7750</v>
      </c>
      <c r="J15" s="100">
        <f t="shared" si="2"/>
        <v>205</v>
      </c>
    </row>
    <row r="16" spans="1:15" hidden="1">
      <c r="A16" t="s">
        <v>233</v>
      </c>
      <c r="B16" s="100">
        <f>+'Travel Working'!AH18</f>
        <v>7500</v>
      </c>
      <c r="C16" s="100"/>
      <c r="D16" s="100"/>
      <c r="E16" s="100"/>
      <c r="F16" s="100"/>
      <c r="G16" t="str">
        <f t="shared" si="0"/>
        <v>KATANDRA</v>
      </c>
      <c r="H16" s="100">
        <f>+O2</f>
        <v>140</v>
      </c>
      <c r="I16" s="100">
        <f t="shared" si="1"/>
        <v>7000</v>
      </c>
      <c r="J16" s="100">
        <f t="shared" si="2"/>
        <v>190</v>
      </c>
    </row>
    <row r="17" spans="1:10" hidden="1">
      <c r="A17" t="s">
        <v>234</v>
      </c>
      <c r="B17" s="100">
        <v>0</v>
      </c>
      <c r="C17" s="100"/>
      <c r="D17" s="100"/>
      <c r="E17" s="100"/>
      <c r="F17" s="100"/>
      <c r="G17" t="str">
        <f t="shared" si="0"/>
        <v>KIALLA</v>
      </c>
      <c r="H17" s="100">
        <f>+O2</f>
        <v>140</v>
      </c>
      <c r="I17" s="100">
        <f t="shared" si="1"/>
        <v>7000</v>
      </c>
      <c r="J17" s="100">
        <f t="shared" si="2"/>
        <v>190</v>
      </c>
    </row>
    <row r="18" spans="1:10" hidden="1">
      <c r="A18" t="s">
        <v>235</v>
      </c>
      <c r="B18" s="100">
        <f>+'Travel Working'!AH19</f>
        <v>49790</v>
      </c>
      <c r="C18" s="100"/>
      <c r="D18" s="100"/>
      <c r="E18" s="100"/>
      <c r="F18" s="100"/>
      <c r="G18" t="str">
        <f t="shared" si="0"/>
        <v>KOONDROOK</v>
      </c>
      <c r="H18" s="100">
        <f>+O2+15</f>
        <v>155</v>
      </c>
      <c r="I18" s="100">
        <f t="shared" si="1"/>
        <v>7750</v>
      </c>
      <c r="J18" s="108" t="s">
        <v>236</v>
      </c>
    </row>
    <row r="19" spans="1:10" hidden="1">
      <c r="A19" t="s">
        <v>237</v>
      </c>
      <c r="B19" s="100">
        <f>+'Travel Working'!AH20</f>
        <v>5680</v>
      </c>
      <c r="C19" s="100"/>
      <c r="D19" s="100"/>
      <c r="E19" s="100"/>
      <c r="F19" s="100"/>
      <c r="G19" t="str">
        <f t="shared" si="0"/>
        <v>KYABRAM</v>
      </c>
      <c r="H19" s="100">
        <f>+O2+5</f>
        <v>145</v>
      </c>
      <c r="I19" s="100">
        <f t="shared" si="1"/>
        <v>7250</v>
      </c>
      <c r="J19" s="100">
        <f t="shared" si="2"/>
        <v>195</v>
      </c>
    </row>
    <row r="20" spans="1:10" hidden="1">
      <c r="A20" t="s">
        <v>238</v>
      </c>
      <c r="B20" s="100">
        <f>+'Travel Working'!AH21</f>
        <v>42520</v>
      </c>
      <c r="C20" s="100"/>
      <c r="D20" s="100"/>
      <c r="E20" s="100"/>
      <c r="F20" s="100"/>
      <c r="G20" t="str">
        <f t="shared" si="0"/>
        <v>MANSFIELD</v>
      </c>
      <c r="H20" s="100">
        <f>+O2+10</f>
        <v>150</v>
      </c>
      <c r="I20" s="100">
        <f t="shared" si="1"/>
        <v>7500</v>
      </c>
      <c r="J20" s="100">
        <f t="shared" si="2"/>
        <v>200</v>
      </c>
    </row>
    <row r="21" spans="1:10" hidden="1">
      <c r="A21" t="s">
        <v>1022</v>
      </c>
      <c r="B21" s="100">
        <f>+'Travel Working'!AH22</f>
        <v>50760</v>
      </c>
      <c r="C21" s="100"/>
      <c r="D21" s="100"/>
      <c r="E21" s="100"/>
      <c r="F21" s="100"/>
      <c r="G21" t="str">
        <f t="shared" si="0"/>
        <v>MATHOURA</v>
      </c>
      <c r="H21" s="100">
        <f>+O2+15</f>
        <v>155</v>
      </c>
      <c r="I21" s="100">
        <f t="shared" si="1"/>
        <v>7750</v>
      </c>
      <c r="J21" s="100">
        <f>+H21+50+40</f>
        <v>245</v>
      </c>
    </row>
    <row r="22" spans="1:10" hidden="1">
      <c r="A22" t="s">
        <v>239</v>
      </c>
      <c r="B22" s="100">
        <f>+'Travel Working'!AH15+'Travel Working'!D107</f>
        <v>21760</v>
      </c>
      <c r="C22" s="100"/>
      <c r="D22" s="100"/>
      <c r="E22" s="100"/>
      <c r="F22" s="100"/>
      <c r="G22" t="str">
        <f t="shared" si="0"/>
        <v>MOAMA</v>
      </c>
      <c r="H22" s="100">
        <f>+H13</f>
        <v>140</v>
      </c>
      <c r="I22" s="100">
        <f t="shared" si="1"/>
        <v>7000</v>
      </c>
      <c r="J22" s="100">
        <f t="shared" si="2"/>
        <v>190</v>
      </c>
    </row>
    <row r="23" spans="1:10" hidden="1">
      <c r="A23" t="s">
        <v>240</v>
      </c>
      <c r="B23" s="100">
        <f>+B38+'Travel Working'!D107</f>
        <v>23460</v>
      </c>
      <c r="C23" s="100"/>
      <c r="D23" s="100"/>
      <c r="E23" s="100"/>
      <c r="F23" s="100"/>
      <c r="G23" t="str">
        <f t="shared" si="0"/>
        <v>MULWALA</v>
      </c>
      <c r="H23" s="100">
        <f>+O2+5</f>
        <v>145</v>
      </c>
      <c r="I23" s="100">
        <f t="shared" si="1"/>
        <v>7250</v>
      </c>
      <c r="J23" s="100">
        <f t="shared" si="2"/>
        <v>195</v>
      </c>
    </row>
    <row r="24" spans="1:10" hidden="1">
      <c r="A24" t="s">
        <v>241</v>
      </c>
      <c r="B24" s="100">
        <f>+'Travel Working'!AH23</f>
        <v>6750</v>
      </c>
      <c r="C24" s="100"/>
      <c r="D24" s="100"/>
      <c r="E24" s="100"/>
      <c r="F24" s="100"/>
      <c r="G24" t="str">
        <f t="shared" si="0"/>
        <v>MURCHISON</v>
      </c>
      <c r="H24" s="100">
        <f>+O2</f>
        <v>140</v>
      </c>
      <c r="I24" s="100">
        <f t="shared" si="1"/>
        <v>7000</v>
      </c>
      <c r="J24" s="100">
        <f t="shared" si="2"/>
        <v>190</v>
      </c>
    </row>
    <row r="25" spans="1:10" hidden="1">
      <c r="A25" t="s">
        <v>242</v>
      </c>
      <c r="B25" s="100">
        <f>+'Travel Working'!AH24</f>
        <v>9760</v>
      </c>
      <c r="C25" s="100"/>
      <c r="D25" s="100"/>
      <c r="E25" s="100"/>
      <c r="F25" s="100"/>
      <c r="G25" t="str">
        <f t="shared" si="0"/>
        <v>NAGAMBIE</v>
      </c>
      <c r="H25" s="100">
        <f>+O2</f>
        <v>140</v>
      </c>
      <c r="I25" s="100">
        <f t="shared" si="1"/>
        <v>7000</v>
      </c>
      <c r="J25" s="100">
        <f t="shared" si="2"/>
        <v>190</v>
      </c>
    </row>
    <row r="26" spans="1:10" hidden="1">
      <c r="A26" t="s">
        <v>243</v>
      </c>
      <c r="B26" s="100">
        <f>+'Travel Working'!AH25</f>
        <v>7650</v>
      </c>
      <c r="C26" s="100"/>
      <c r="D26" s="100"/>
      <c r="E26" s="100"/>
      <c r="F26" s="100"/>
      <c r="G26" t="str">
        <f t="shared" si="0"/>
        <v>NATHALIA</v>
      </c>
      <c r="H26" s="100">
        <f>+O2+5</f>
        <v>145</v>
      </c>
      <c r="I26" s="100">
        <f t="shared" si="1"/>
        <v>7250</v>
      </c>
      <c r="J26" s="100">
        <f t="shared" si="2"/>
        <v>195</v>
      </c>
    </row>
    <row r="27" spans="1:10" hidden="1">
      <c r="A27" t="s">
        <v>244</v>
      </c>
      <c r="B27" s="100">
        <f>+'Travel Working'!AH26</f>
        <v>4360</v>
      </c>
      <c r="C27" s="100"/>
      <c r="D27" s="100"/>
      <c r="E27" s="100"/>
      <c r="F27" s="100"/>
      <c r="G27" t="str">
        <f t="shared" si="0"/>
        <v>NUMURKAH</v>
      </c>
      <c r="H27" s="100">
        <f>+O2</f>
        <v>140</v>
      </c>
      <c r="I27" s="100">
        <f t="shared" si="1"/>
        <v>7000</v>
      </c>
      <c r="J27" s="100">
        <f t="shared" si="2"/>
        <v>190</v>
      </c>
    </row>
    <row r="28" spans="1:10" hidden="1">
      <c r="A28" t="s">
        <v>245</v>
      </c>
      <c r="B28" s="100">
        <f>+'Travel Working'!AH27</f>
        <v>15690</v>
      </c>
      <c r="C28" s="100"/>
      <c r="D28" s="100"/>
      <c r="E28" s="100"/>
      <c r="F28" s="100"/>
      <c r="G28" t="str">
        <f t="shared" si="0"/>
        <v>ROCHESTER</v>
      </c>
      <c r="H28" s="100">
        <f>+O2+10</f>
        <v>150</v>
      </c>
      <c r="I28" s="100">
        <f t="shared" si="1"/>
        <v>7500</v>
      </c>
      <c r="J28" s="100">
        <f t="shared" si="2"/>
        <v>200</v>
      </c>
    </row>
    <row r="29" spans="1:10" hidden="1">
      <c r="A29" t="s">
        <v>246</v>
      </c>
      <c r="B29" s="100">
        <f>+'Travel Working'!AH28</f>
        <v>8830</v>
      </c>
      <c r="C29" s="100"/>
      <c r="D29" s="100"/>
      <c r="E29" s="100"/>
      <c r="F29" s="100"/>
      <c r="G29" t="str">
        <f t="shared" si="0"/>
        <v>RUSHWORTH</v>
      </c>
      <c r="H29" s="100">
        <f>+O2+5</f>
        <v>145</v>
      </c>
      <c r="I29" s="100">
        <f t="shared" si="1"/>
        <v>7250</v>
      </c>
      <c r="J29" s="100">
        <f t="shared" si="2"/>
        <v>195</v>
      </c>
    </row>
    <row r="30" spans="1:10" hidden="1">
      <c r="A30" t="s">
        <v>247</v>
      </c>
      <c r="B30" s="100">
        <f>+'Travel Working'!AH29</f>
        <v>15760</v>
      </c>
      <c r="C30" s="100"/>
      <c r="D30" s="100"/>
      <c r="E30" s="100"/>
      <c r="F30" s="100"/>
      <c r="G30" t="str">
        <f t="shared" si="0"/>
        <v>SEYMOUR</v>
      </c>
      <c r="H30" s="100">
        <f>+O2</f>
        <v>140</v>
      </c>
      <c r="I30" s="100">
        <f t="shared" si="1"/>
        <v>7000</v>
      </c>
      <c r="J30" s="100">
        <f t="shared" si="2"/>
        <v>190</v>
      </c>
    </row>
    <row r="31" spans="1:10" hidden="1">
      <c r="A31" t="s">
        <v>174</v>
      </c>
      <c r="B31" s="100">
        <v>0</v>
      </c>
      <c r="C31" s="100"/>
      <c r="D31" s="100"/>
      <c r="E31" s="100"/>
      <c r="F31" s="100"/>
      <c r="G31" t="str">
        <f t="shared" si="0"/>
        <v>SHEPPARTON</v>
      </c>
      <c r="H31" s="100">
        <f>+O2</f>
        <v>140</v>
      </c>
      <c r="I31" s="100">
        <f t="shared" si="1"/>
        <v>7000</v>
      </c>
      <c r="J31" s="100">
        <f t="shared" si="2"/>
        <v>190</v>
      </c>
    </row>
    <row r="32" spans="1:10" hidden="1">
      <c r="A32" t="s">
        <v>248</v>
      </c>
      <c r="B32" s="100">
        <f>+'Travel Working'!AH31</f>
        <v>9330</v>
      </c>
      <c r="C32" s="100"/>
      <c r="D32" s="100"/>
      <c r="E32" s="100"/>
      <c r="F32" s="100"/>
      <c r="G32" t="str">
        <f t="shared" si="0"/>
        <v>STRATHMERTON</v>
      </c>
      <c r="H32" s="100">
        <f>+O2</f>
        <v>140</v>
      </c>
      <c r="I32" s="100">
        <f t="shared" si="1"/>
        <v>7000</v>
      </c>
      <c r="J32" s="100">
        <f t="shared" si="2"/>
        <v>190</v>
      </c>
    </row>
    <row r="33" spans="1:10" hidden="1">
      <c r="A33" t="s">
        <v>249</v>
      </c>
      <c r="B33" s="100">
        <f>+'Travel Working'!AH30</f>
        <v>7490</v>
      </c>
      <c r="C33" s="100"/>
      <c r="D33" s="100"/>
      <c r="E33" s="100"/>
      <c r="F33" s="100"/>
      <c r="G33" t="str">
        <f t="shared" si="0"/>
        <v>STANHOPE</v>
      </c>
      <c r="H33" s="100">
        <f>+O2+5</f>
        <v>145</v>
      </c>
      <c r="I33" s="100">
        <f t="shared" si="1"/>
        <v>7250</v>
      </c>
      <c r="J33" s="100">
        <f t="shared" si="2"/>
        <v>195</v>
      </c>
    </row>
    <row r="34" spans="1:10" hidden="1">
      <c r="A34" t="s">
        <v>250</v>
      </c>
      <c r="B34" s="100">
        <f>+'Travel Working'!AH32</f>
        <v>1220</v>
      </c>
      <c r="C34" s="100"/>
      <c r="D34" s="100"/>
      <c r="E34" s="100"/>
      <c r="F34" s="100"/>
      <c r="G34" t="str">
        <f t="shared" si="0"/>
        <v>TATURA</v>
      </c>
      <c r="H34" s="100">
        <f>+O2</f>
        <v>140</v>
      </c>
      <c r="I34" s="100">
        <f t="shared" si="1"/>
        <v>7000</v>
      </c>
      <c r="J34" s="100">
        <f t="shared" si="2"/>
        <v>190</v>
      </c>
    </row>
    <row r="35" spans="1:10" hidden="1">
      <c r="A35" t="s">
        <v>251</v>
      </c>
      <c r="B35" s="100">
        <f>+B9+'Travel Working'!D107</f>
        <v>21970</v>
      </c>
      <c r="C35" s="100"/>
      <c r="D35" s="100"/>
      <c r="E35" s="100"/>
      <c r="F35" s="100"/>
      <c r="G35" t="str">
        <f t="shared" si="0"/>
        <v>TOCUMWAL</v>
      </c>
      <c r="H35" s="100">
        <f>+O2+15</f>
        <v>155</v>
      </c>
      <c r="I35" s="100">
        <f t="shared" si="1"/>
        <v>7750</v>
      </c>
      <c r="J35" s="100">
        <f t="shared" si="2"/>
        <v>205</v>
      </c>
    </row>
    <row r="36" spans="1:10" hidden="1">
      <c r="A36" t="s">
        <v>252</v>
      </c>
      <c r="B36" s="100">
        <f>+'Travel Working'!AH33</f>
        <v>9910</v>
      </c>
      <c r="C36" s="100"/>
      <c r="D36" s="100"/>
      <c r="E36" s="100"/>
      <c r="F36" s="100"/>
      <c r="G36" t="str">
        <f t="shared" si="0"/>
        <v>TONGALA</v>
      </c>
      <c r="H36" s="100">
        <f>+O2+5</f>
        <v>145</v>
      </c>
      <c r="I36" s="100">
        <f t="shared" si="1"/>
        <v>7250</v>
      </c>
      <c r="J36" s="100">
        <f t="shared" si="2"/>
        <v>195</v>
      </c>
    </row>
    <row r="37" spans="1:10" hidden="1">
      <c r="A37" t="s">
        <v>253</v>
      </c>
      <c r="B37" s="100">
        <f>+'Travel Working'!AH34</f>
        <v>14820</v>
      </c>
      <c r="C37" s="100"/>
      <c r="D37" s="100"/>
      <c r="E37" s="100"/>
      <c r="F37" s="100"/>
      <c r="G37" t="str">
        <f t="shared" si="0"/>
        <v>TUNGAMAH</v>
      </c>
      <c r="H37" s="100">
        <f>+O2+10</f>
        <v>150</v>
      </c>
      <c r="I37" s="100">
        <f t="shared" si="1"/>
        <v>7500</v>
      </c>
      <c r="J37" s="100">
        <f t="shared" si="2"/>
        <v>200</v>
      </c>
    </row>
    <row r="38" spans="1:10" hidden="1">
      <c r="A38" t="s">
        <v>254</v>
      </c>
      <c r="B38" s="100">
        <f>+'Travel Working'!AH35</f>
        <v>15260</v>
      </c>
      <c r="C38" s="100"/>
      <c r="D38" s="100"/>
      <c r="E38" s="100"/>
      <c r="F38" s="100"/>
      <c r="G38" t="str">
        <f t="shared" si="0"/>
        <v>YARRAWONGA</v>
      </c>
      <c r="H38" s="100">
        <f>+O2+5</f>
        <v>145</v>
      </c>
      <c r="I38" s="100">
        <f t="shared" si="1"/>
        <v>7250</v>
      </c>
      <c r="J38" s="100">
        <f t="shared" si="2"/>
        <v>195</v>
      </c>
    </row>
    <row r="39" spans="1:10" hidden="1">
      <c r="A39" t="s">
        <v>255</v>
      </c>
      <c r="B39" s="100">
        <f>+'Travel Working'!AH36</f>
        <v>38180</v>
      </c>
      <c r="C39" s="100"/>
      <c r="D39" s="100"/>
      <c r="E39" s="100"/>
      <c r="F39" s="100"/>
      <c r="G39" t="str">
        <f t="shared" si="0"/>
        <v>YEA</v>
      </c>
      <c r="H39" s="100">
        <f>+O2+5</f>
        <v>145</v>
      </c>
      <c r="I39" s="100">
        <f t="shared" si="1"/>
        <v>7250</v>
      </c>
      <c r="J39" s="100">
        <f>+H39+50+50</f>
        <v>245</v>
      </c>
    </row>
    <row r="40" spans="1:10" ht="17.25" hidden="1">
      <c r="A40" s="405" t="s">
        <v>1206</v>
      </c>
    </row>
    <row r="41" spans="1:10" ht="17.25" hidden="1">
      <c r="A41" s="405" t="s">
        <v>1624</v>
      </c>
    </row>
    <row r="43" spans="1:10">
      <c r="B43">
        <f>+SUBTOTAL(9,(B4:B39))</f>
        <v>0</v>
      </c>
      <c r="H43">
        <f>+SUBTOTAL(9,(H4:H39))</f>
        <v>140</v>
      </c>
      <c r="I43">
        <f>+SUBTOTAL(9,(I4:I39))</f>
        <v>7000</v>
      </c>
      <c r="J43">
        <f>+SUBTOTAL(9,(J4:J39))</f>
        <v>190</v>
      </c>
    </row>
  </sheetData>
  <autoFilter ref="A3:A41" xr:uid="{EE382396-C783-4202-9104-AEE98B8039EA}">
    <filterColumn colId="0">
      <filters>
        <filter val="ECHUCA"/>
      </filters>
    </filterColumn>
  </autoFilter>
  <pageMargins left="0.7" right="0.7" top="0.75" bottom="0.75" header="0.3" footer="0.3"/>
  <pageSetup paperSize="9" orientation="portrait" horizont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A8051-9A3E-42C0-9C5D-01C6D9E9DBEF}">
  <sheetPr codeName="Sheet28">
    <tabColor rgb="FF009900"/>
  </sheetPr>
  <dimension ref="B1:R436"/>
  <sheetViews>
    <sheetView tabSelected="1" view="pageBreakPreview" topLeftCell="A317" zoomScale="60" zoomScaleNormal="100" workbookViewId="0">
      <selection activeCell="H331" sqref="H330:H331"/>
    </sheetView>
  </sheetViews>
  <sheetFormatPr defaultColWidth="9.140625" defaultRowHeight="18" customHeight="1"/>
  <cols>
    <col min="1" max="1" width="9.140625" style="449"/>
    <col min="2" max="2" width="15" style="449" customWidth="1"/>
    <col min="3" max="3" width="50.7109375" style="449" customWidth="1"/>
    <col min="4" max="4" width="9.5703125" style="450" customWidth="1"/>
    <col min="5" max="6" width="9.5703125" style="449" customWidth="1"/>
    <col min="7" max="7" width="9.140625" style="449"/>
    <col min="8" max="8" width="62.7109375" style="449" customWidth="1"/>
    <col min="9" max="9" width="12.7109375" style="449" customWidth="1"/>
    <col min="10" max="16384" width="9.140625" style="449"/>
  </cols>
  <sheetData>
    <row r="1" spans="2:10" ht="18" customHeight="1" thickBot="1"/>
    <row r="2" spans="2:10" ht="18" customHeight="1">
      <c r="B2" s="136"/>
      <c r="C2" s="137"/>
      <c r="D2" s="138"/>
      <c r="E2" s="137"/>
      <c r="F2" s="139"/>
    </row>
    <row r="3" spans="2:10" ht="18" customHeight="1">
      <c r="B3" s="140"/>
      <c r="C3" s="141"/>
      <c r="D3" s="142"/>
      <c r="E3" s="141"/>
      <c r="F3" s="143"/>
      <c r="G3" s="451"/>
    </row>
    <row r="4" spans="2:10" ht="39" customHeight="1">
      <c r="B4" s="144" t="s">
        <v>270</v>
      </c>
      <c r="C4" s="141"/>
      <c r="D4" s="145"/>
      <c r="E4" s="146"/>
      <c r="F4" s="147"/>
      <c r="G4" s="451"/>
      <c r="H4" s="451"/>
      <c r="I4" s="451"/>
    </row>
    <row r="5" spans="2:10" ht="11.25" customHeight="1">
      <c r="B5" s="148" t="s">
        <v>271</v>
      </c>
      <c r="C5" s="141"/>
      <c r="D5" s="135"/>
      <c r="E5" s="149" t="s">
        <v>272</v>
      </c>
      <c r="F5" s="143"/>
      <c r="G5" s="452"/>
      <c r="H5" s="451"/>
      <c r="I5" s="451"/>
    </row>
    <row r="6" spans="2:10" ht="11.25" customHeight="1">
      <c r="B6" s="148" t="s">
        <v>273</v>
      </c>
      <c r="C6" s="141"/>
      <c r="D6" s="135"/>
      <c r="E6" s="149" t="s">
        <v>274</v>
      </c>
      <c r="F6" s="143"/>
      <c r="G6" s="452"/>
      <c r="H6" s="451"/>
      <c r="I6" s="451"/>
      <c r="J6" s="451"/>
    </row>
    <row r="7" spans="2:10" ht="13.5" customHeight="1">
      <c r="B7" s="148" t="s">
        <v>275</v>
      </c>
      <c r="C7" s="141"/>
      <c r="D7" s="135"/>
      <c r="E7" s="149" t="s">
        <v>276</v>
      </c>
      <c r="F7" s="143"/>
      <c r="G7" s="452"/>
      <c r="H7" s="451"/>
      <c r="I7" s="451"/>
      <c r="J7" s="451"/>
    </row>
    <row r="8" spans="2:10" ht="18" customHeight="1">
      <c r="B8" s="150"/>
      <c r="C8" s="141"/>
      <c r="D8" s="151"/>
      <c r="E8" s="141"/>
      <c r="F8" s="143"/>
      <c r="G8" s="451"/>
      <c r="H8" s="451"/>
      <c r="I8" s="451"/>
      <c r="J8" s="451"/>
    </row>
    <row r="9" spans="2:10" ht="18" customHeight="1">
      <c r="B9" s="152" t="s">
        <v>277</v>
      </c>
      <c r="C9" s="153" t="str">
        <f>+C46</f>
        <v>Gavin &amp; Taleitha Alder</v>
      </c>
      <c r="D9" s="151"/>
      <c r="E9" s="141"/>
      <c r="F9" s="143"/>
      <c r="G9" s="451"/>
      <c r="H9" s="451"/>
      <c r="I9" s="451"/>
      <c r="J9" s="451"/>
    </row>
    <row r="10" spans="2:10" ht="18" customHeight="1">
      <c r="B10" s="150"/>
      <c r="C10" s="141"/>
      <c r="D10" s="151"/>
      <c r="E10" s="141"/>
      <c r="F10" s="143"/>
      <c r="G10" s="451"/>
      <c r="H10" s="451"/>
      <c r="I10" s="451"/>
      <c r="J10" s="451"/>
    </row>
    <row r="11" spans="2:10" ht="18" customHeight="1">
      <c r="B11" s="154" t="s">
        <v>278</v>
      </c>
      <c r="C11" s="141"/>
      <c r="D11" s="151"/>
      <c r="E11" s="141"/>
      <c r="F11" s="143"/>
      <c r="G11" s="451"/>
      <c r="H11" s="451"/>
      <c r="I11" s="451"/>
      <c r="J11" s="451"/>
    </row>
    <row r="12" spans="2:10" ht="18" customHeight="1">
      <c r="B12" s="150"/>
      <c r="C12" s="141"/>
      <c r="D12" s="151"/>
      <c r="E12" s="141"/>
      <c r="F12" s="143"/>
      <c r="G12" s="451"/>
      <c r="H12" s="451"/>
      <c r="I12" s="451"/>
      <c r="J12" s="451"/>
    </row>
    <row r="13" spans="2:10" ht="18" customHeight="1">
      <c r="B13" s="150" t="s">
        <v>279</v>
      </c>
      <c r="C13" s="141"/>
      <c r="D13" s="151"/>
      <c r="E13" s="141"/>
      <c r="F13" s="143"/>
      <c r="G13" s="451"/>
      <c r="H13" s="451"/>
      <c r="I13" s="451"/>
      <c r="J13" s="451"/>
    </row>
    <row r="14" spans="2:10" ht="18" customHeight="1">
      <c r="B14" s="150" t="s">
        <v>280</v>
      </c>
      <c r="C14" s="141"/>
      <c r="D14" s="151"/>
      <c r="E14" s="141"/>
      <c r="F14" s="143"/>
      <c r="G14" s="451"/>
      <c r="H14" s="451"/>
      <c r="I14" s="451"/>
      <c r="J14" s="451"/>
    </row>
    <row r="15" spans="2:10" ht="18" customHeight="1">
      <c r="B15" s="150"/>
      <c r="C15" s="141"/>
      <c r="D15" s="151"/>
      <c r="E15" s="141"/>
      <c r="F15" s="143"/>
      <c r="G15" s="451"/>
      <c r="H15" s="451"/>
      <c r="I15" s="451"/>
      <c r="J15" s="451"/>
    </row>
    <row r="16" spans="2:10" ht="18" customHeight="1">
      <c r="B16" s="150" t="s">
        <v>281</v>
      </c>
      <c r="C16" s="141"/>
      <c r="D16" s="151"/>
      <c r="E16" s="141"/>
      <c r="F16" s="143"/>
      <c r="G16" s="451"/>
      <c r="H16" s="451"/>
      <c r="I16" s="451"/>
      <c r="J16" s="451"/>
    </row>
    <row r="17" spans="2:10" ht="18" customHeight="1">
      <c r="B17" s="150" t="str">
        <f>+C50</f>
        <v>Lot 10, 72 Latham Road Echuca Victoria 3564</v>
      </c>
      <c r="C17" s="141"/>
      <c r="D17" s="151"/>
      <c r="E17" s="141"/>
      <c r="F17" s="143"/>
      <c r="G17" s="451"/>
      <c r="H17" s="451"/>
      <c r="I17" s="451"/>
      <c r="J17" s="451"/>
    </row>
    <row r="18" spans="2:10" ht="18" customHeight="1">
      <c r="B18" s="150"/>
      <c r="C18" s="141"/>
      <c r="D18" s="151"/>
      <c r="E18" s="141"/>
      <c r="F18" s="143"/>
      <c r="G18" s="451"/>
      <c r="H18" s="451"/>
      <c r="I18" s="451"/>
      <c r="J18" s="451"/>
    </row>
    <row r="19" spans="2:10" ht="18" customHeight="1">
      <c r="B19" s="150" t="s">
        <v>1342</v>
      </c>
      <c r="C19" s="141"/>
      <c r="D19" s="151"/>
      <c r="E19" s="141"/>
      <c r="F19" s="143"/>
      <c r="G19" s="451"/>
      <c r="H19" s="451"/>
      <c r="I19" s="451"/>
      <c r="J19" s="451"/>
    </row>
    <row r="20" spans="2:10" ht="18" customHeight="1">
      <c r="B20" s="150"/>
      <c r="C20" s="141"/>
      <c r="D20" s="151"/>
      <c r="E20" s="141"/>
      <c r="F20" s="143"/>
      <c r="G20" s="451"/>
      <c r="H20" s="451"/>
      <c r="I20" s="451"/>
      <c r="J20" s="451"/>
    </row>
    <row r="21" spans="2:10" ht="18" customHeight="1">
      <c r="B21" s="150" t="s">
        <v>284</v>
      </c>
      <c r="C21" s="141"/>
      <c r="D21" s="151"/>
      <c r="E21" s="141"/>
      <c r="F21" s="143"/>
      <c r="G21" s="451"/>
      <c r="H21" s="451"/>
      <c r="I21" s="451"/>
      <c r="J21" s="451"/>
    </row>
    <row r="22" spans="2:10" ht="18" customHeight="1">
      <c r="B22" s="150" t="s">
        <v>285</v>
      </c>
      <c r="C22" s="141"/>
      <c r="D22" s="151"/>
      <c r="E22" s="141"/>
      <c r="F22" s="143"/>
      <c r="G22" s="451"/>
      <c r="H22" s="451"/>
      <c r="I22" s="451"/>
      <c r="J22" s="451"/>
    </row>
    <row r="23" spans="2:10" ht="18" customHeight="1">
      <c r="B23" s="150" t="s">
        <v>286</v>
      </c>
      <c r="C23" s="141"/>
      <c r="D23" s="151"/>
      <c r="E23" s="141"/>
      <c r="F23" s="143"/>
      <c r="G23" s="451"/>
      <c r="H23" s="451"/>
      <c r="I23" s="451"/>
      <c r="J23" s="451"/>
    </row>
    <row r="24" spans="2:10" ht="18" customHeight="1">
      <c r="B24" s="150" t="s">
        <v>287</v>
      </c>
      <c r="C24" s="141"/>
      <c r="D24" s="151"/>
      <c r="E24" s="141"/>
      <c r="F24" s="143"/>
      <c r="G24" s="451"/>
      <c r="H24" s="451"/>
      <c r="I24" s="451"/>
      <c r="J24" s="451"/>
    </row>
    <row r="25" spans="2:10" ht="18" customHeight="1">
      <c r="B25" s="150"/>
      <c r="C25" s="141"/>
      <c r="D25" s="151"/>
      <c r="E25" s="141"/>
      <c r="F25" s="143"/>
      <c r="G25" s="451"/>
      <c r="H25" s="451"/>
      <c r="I25" s="451"/>
      <c r="J25" s="451"/>
    </row>
    <row r="26" spans="2:10" ht="18" customHeight="1">
      <c r="B26" s="150" t="s">
        <v>288</v>
      </c>
      <c r="C26" s="141"/>
      <c r="D26" s="151"/>
      <c r="E26" s="141"/>
      <c r="F26" s="143"/>
      <c r="G26" s="451"/>
      <c r="H26" s="451"/>
      <c r="I26" s="451"/>
      <c r="J26" s="451"/>
    </row>
    <row r="27" spans="2:10" ht="18" customHeight="1">
      <c r="B27" s="150" t="s">
        <v>289</v>
      </c>
      <c r="C27" s="141"/>
      <c r="D27" s="151"/>
      <c r="E27" s="141"/>
      <c r="F27" s="143"/>
      <c r="G27" s="451"/>
      <c r="H27" s="451"/>
      <c r="I27" s="451"/>
      <c r="J27" s="451"/>
    </row>
    <row r="28" spans="2:10" ht="18" customHeight="1">
      <c r="B28" s="150" t="s">
        <v>290</v>
      </c>
      <c r="C28" s="141"/>
      <c r="D28" s="151"/>
      <c r="E28" s="141"/>
      <c r="F28" s="143"/>
      <c r="G28" s="451"/>
      <c r="H28" s="451"/>
      <c r="I28" s="451"/>
      <c r="J28" s="451"/>
    </row>
    <row r="29" spans="2:10" ht="18" customHeight="1">
      <c r="B29" s="150" t="s">
        <v>291</v>
      </c>
      <c r="C29" s="141"/>
      <c r="D29" s="151"/>
      <c r="E29" s="141"/>
      <c r="F29" s="143"/>
      <c r="G29" s="451"/>
      <c r="H29" s="451"/>
      <c r="I29" s="451"/>
      <c r="J29" s="451"/>
    </row>
    <row r="30" spans="2:10" ht="18" customHeight="1">
      <c r="B30" s="150"/>
      <c r="C30" s="141"/>
      <c r="D30" s="151"/>
      <c r="E30" s="141"/>
      <c r="F30" s="143"/>
      <c r="G30" s="451"/>
      <c r="H30" s="451"/>
      <c r="I30" s="451"/>
      <c r="J30" s="451"/>
    </row>
    <row r="31" spans="2:10" ht="18" customHeight="1">
      <c r="B31" s="150" t="s">
        <v>292</v>
      </c>
      <c r="C31" s="141"/>
      <c r="D31" s="151"/>
      <c r="E31" s="141"/>
      <c r="F31" s="143"/>
      <c r="G31" s="451"/>
      <c r="H31" s="451"/>
      <c r="I31" s="451"/>
      <c r="J31" s="451"/>
    </row>
    <row r="32" spans="2:10" ht="18" customHeight="1">
      <c r="B32" s="156" t="s">
        <v>293</v>
      </c>
      <c r="C32" s="141"/>
      <c r="D32" s="151"/>
      <c r="E32" s="141"/>
      <c r="F32" s="143"/>
      <c r="G32" s="451"/>
      <c r="H32" s="451"/>
      <c r="I32" s="451"/>
      <c r="J32" s="451"/>
    </row>
    <row r="33" spans="2:10" ht="18" customHeight="1">
      <c r="B33" s="156" t="s">
        <v>294</v>
      </c>
      <c r="C33" s="141"/>
      <c r="D33" s="151"/>
      <c r="E33" s="141"/>
      <c r="F33" s="143"/>
      <c r="G33" s="451"/>
      <c r="H33" s="451"/>
      <c r="I33" s="451"/>
      <c r="J33" s="451"/>
    </row>
    <row r="34" spans="2:10" ht="18" customHeight="1">
      <c r="B34" s="156" t="s">
        <v>295</v>
      </c>
      <c r="C34" s="141"/>
      <c r="D34" s="151"/>
      <c r="E34" s="141"/>
      <c r="F34" s="143"/>
      <c r="G34" s="451"/>
      <c r="H34" s="451"/>
      <c r="I34" s="451"/>
      <c r="J34" s="451"/>
    </row>
    <row r="35" spans="2:10" ht="18" customHeight="1">
      <c r="B35" s="150"/>
      <c r="C35" s="141"/>
      <c r="D35" s="151"/>
      <c r="E35" s="141"/>
      <c r="F35" s="143"/>
      <c r="G35" s="451"/>
      <c r="H35" s="451"/>
      <c r="I35" s="451"/>
      <c r="J35" s="451"/>
    </row>
    <row r="36" spans="2:10" ht="18" customHeight="1">
      <c r="B36" s="150" t="s">
        <v>296</v>
      </c>
      <c r="C36" s="141"/>
      <c r="D36" s="151"/>
      <c r="E36" s="141"/>
      <c r="F36" s="143"/>
      <c r="G36" s="451"/>
      <c r="H36" s="451"/>
      <c r="I36" s="451"/>
      <c r="J36" s="451"/>
    </row>
    <row r="37" spans="2:10" ht="18" customHeight="1">
      <c r="B37" s="150" t="s">
        <v>297</v>
      </c>
      <c r="C37" s="141"/>
      <c r="D37" s="151"/>
      <c r="E37" s="141"/>
      <c r="F37" s="143"/>
      <c r="G37" s="451"/>
      <c r="H37" s="451"/>
      <c r="I37" s="451"/>
      <c r="J37" s="451"/>
    </row>
    <row r="38" spans="2:10" ht="18" customHeight="1">
      <c r="B38" s="150"/>
      <c r="C38" s="141"/>
      <c r="D38" s="151"/>
      <c r="E38" s="141"/>
      <c r="F38" s="143"/>
      <c r="G38" s="451"/>
      <c r="H38" s="451"/>
      <c r="I38" s="451"/>
      <c r="J38" s="451"/>
    </row>
    <row r="39" spans="2:10" ht="18" customHeight="1">
      <c r="B39" s="150" t="s">
        <v>298</v>
      </c>
      <c r="C39" s="141"/>
      <c r="D39" s="151"/>
      <c r="E39" s="141"/>
      <c r="F39" s="143"/>
      <c r="G39" s="451"/>
      <c r="H39" s="451"/>
      <c r="I39" s="451"/>
      <c r="J39" s="451"/>
    </row>
    <row r="40" spans="2:10" ht="18" customHeight="1">
      <c r="B40" s="150"/>
      <c r="C40" s="141"/>
      <c r="D40" s="151"/>
      <c r="E40" s="141"/>
      <c r="F40" s="143"/>
      <c r="G40" s="451"/>
      <c r="H40" s="451"/>
      <c r="I40" s="451"/>
      <c r="J40" s="451"/>
    </row>
    <row r="41" spans="2:10" ht="18" customHeight="1">
      <c r="B41" s="154" t="s">
        <v>1649</v>
      </c>
      <c r="C41" s="141"/>
      <c r="D41" s="151"/>
      <c r="E41" s="141"/>
      <c r="F41" s="143"/>
      <c r="G41" s="451"/>
      <c r="H41" s="451"/>
      <c r="I41" s="451"/>
      <c r="J41" s="451"/>
    </row>
    <row r="42" spans="2:10" ht="18" customHeight="1" thickBot="1">
      <c r="B42" s="157" t="s">
        <v>299</v>
      </c>
      <c r="C42" s="158"/>
      <c r="D42" s="159"/>
      <c r="E42" s="158"/>
      <c r="F42" s="160"/>
      <c r="G42" s="451"/>
      <c r="H42" s="451"/>
      <c r="I42" s="451"/>
      <c r="J42" s="451"/>
    </row>
    <row r="44" spans="2:10" ht="22.5" customHeight="1">
      <c r="I44" s="454"/>
    </row>
    <row r="45" spans="2:10" ht="24.95" customHeight="1" thickBot="1">
      <c r="B45" s="696" t="s">
        <v>300</v>
      </c>
      <c r="C45" s="696"/>
      <c r="D45" s="456"/>
      <c r="E45" s="455"/>
      <c r="F45" s="455"/>
    </row>
    <row r="46" spans="2:10" ht="18" customHeight="1">
      <c r="B46" s="165" t="s">
        <v>301</v>
      </c>
      <c r="C46" s="713" t="s">
        <v>1650</v>
      </c>
      <c r="D46" s="713"/>
      <c r="E46" s="713"/>
      <c r="F46" s="714"/>
      <c r="G46" s="457"/>
    </row>
    <row r="47" spans="2:10" ht="18" customHeight="1">
      <c r="B47" s="715" t="s">
        <v>1804</v>
      </c>
      <c r="C47" s="700"/>
      <c r="D47" s="700"/>
      <c r="E47" s="700"/>
      <c r="F47" s="701"/>
      <c r="H47" s="458"/>
      <c r="I47" s="459"/>
      <c r="J47" s="459"/>
    </row>
    <row r="48" spans="2:10" ht="18" customHeight="1">
      <c r="B48" s="715" t="s">
        <v>1805</v>
      </c>
      <c r="C48" s="700"/>
      <c r="D48" s="700"/>
      <c r="E48" s="700"/>
      <c r="F48" s="701"/>
      <c r="H48" s="458"/>
      <c r="I48" s="459"/>
      <c r="J48" s="459"/>
    </row>
    <row r="49" spans="2:10" ht="18" customHeight="1">
      <c r="B49" s="715" t="s">
        <v>1651</v>
      </c>
      <c r="C49" s="700"/>
      <c r="D49" s="700"/>
      <c r="E49" s="700"/>
      <c r="F49" s="701"/>
      <c r="H49" s="458"/>
      <c r="I49" s="459"/>
      <c r="J49" s="459"/>
    </row>
    <row r="50" spans="2:10" ht="18" customHeight="1" thickBot="1">
      <c r="B50" s="460" t="s">
        <v>305</v>
      </c>
      <c r="C50" s="716" t="s">
        <v>1652</v>
      </c>
      <c r="D50" s="716"/>
      <c r="E50" s="716"/>
      <c r="F50" s="717"/>
    </row>
    <row r="51" spans="2:10" ht="18" customHeight="1" thickBot="1">
      <c r="B51" s="458"/>
      <c r="C51" s="458"/>
      <c r="D51" s="458"/>
      <c r="E51" s="458"/>
      <c r="F51" s="458"/>
    </row>
    <row r="52" spans="2:10" s="172" customFormat="1" ht="18" customHeight="1">
      <c r="B52" s="718" t="s">
        <v>306</v>
      </c>
      <c r="C52" s="719"/>
      <c r="D52" s="719"/>
      <c r="E52" s="719"/>
      <c r="F52" s="720"/>
    </row>
    <row r="53" spans="2:10" s="172" customFormat="1" ht="18" customHeight="1">
      <c r="B53" s="407" t="s">
        <v>307</v>
      </c>
      <c r="C53" s="174"/>
      <c r="D53" s="702"/>
      <c r="E53" s="703"/>
      <c r="F53" s="704"/>
    </row>
    <row r="54" spans="2:10" s="40" customFormat="1" ht="18" customHeight="1">
      <c r="B54" s="710" t="s">
        <v>308</v>
      </c>
      <c r="C54" s="712"/>
      <c r="D54" s="702" t="s">
        <v>309</v>
      </c>
      <c r="E54" s="703"/>
      <c r="F54" s="704"/>
    </row>
    <row r="55" spans="2:10" s="40" customFormat="1" ht="18" customHeight="1">
      <c r="B55" s="710" t="s">
        <v>310</v>
      </c>
      <c r="C55" s="712"/>
      <c r="D55" s="702" t="s">
        <v>309</v>
      </c>
      <c r="E55" s="703"/>
      <c r="F55" s="704"/>
    </row>
    <row r="56" spans="2:10" s="40" customFormat="1" ht="18" customHeight="1">
      <c r="B56" s="710" t="s">
        <v>311</v>
      </c>
      <c r="C56" s="712"/>
      <c r="D56" s="702" t="s">
        <v>309</v>
      </c>
      <c r="E56" s="703"/>
      <c r="F56" s="704"/>
    </row>
    <row r="57" spans="2:10" s="40" customFormat="1" ht="18" customHeight="1">
      <c r="B57" s="710" t="s">
        <v>312</v>
      </c>
      <c r="C57" s="712"/>
      <c r="D57" s="702" t="s">
        <v>309</v>
      </c>
      <c r="E57" s="703"/>
      <c r="F57" s="704"/>
    </row>
    <row r="58" spans="2:10" s="40" customFormat="1" ht="18" customHeight="1">
      <c r="B58" s="710" t="s">
        <v>314</v>
      </c>
      <c r="C58" s="712"/>
      <c r="D58" s="702" t="s">
        <v>309</v>
      </c>
      <c r="E58" s="703"/>
      <c r="F58" s="704"/>
    </row>
    <row r="59" spans="2:10" s="40" customFormat="1" ht="18" customHeight="1">
      <c r="B59" s="710" t="s">
        <v>1620</v>
      </c>
      <c r="C59" s="712"/>
      <c r="D59" s="702" t="s">
        <v>309</v>
      </c>
      <c r="E59" s="703"/>
      <c r="F59" s="704"/>
    </row>
    <row r="60" spans="2:10" s="40" customFormat="1" ht="18" customHeight="1">
      <c r="B60" s="407" t="s">
        <v>316</v>
      </c>
      <c r="C60" s="174"/>
      <c r="D60" s="702"/>
      <c r="E60" s="703"/>
      <c r="F60" s="704"/>
    </row>
    <row r="61" spans="2:10" s="40" customFormat="1" ht="18" customHeight="1">
      <c r="B61" s="710" t="s">
        <v>317</v>
      </c>
      <c r="C61" s="712"/>
      <c r="D61" s="702" t="s">
        <v>309</v>
      </c>
      <c r="E61" s="703"/>
      <c r="F61" s="704"/>
    </row>
    <row r="62" spans="2:10" s="40" customFormat="1" ht="18" customHeight="1">
      <c r="B62" s="710" t="s">
        <v>318</v>
      </c>
      <c r="C62" s="712"/>
      <c r="D62" s="702" t="s">
        <v>309</v>
      </c>
      <c r="E62" s="703"/>
      <c r="F62" s="704"/>
    </row>
    <row r="63" spans="2:10" s="40" customFormat="1" ht="18" customHeight="1">
      <c r="B63" s="710" t="s">
        <v>319</v>
      </c>
      <c r="C63" s="712"/>
      <c r="D63" s="702" t="s">
        <v>309</v>
      </c>
      <c r="E63" s="703"/>
      <c r="F63" s="704"/>
      <c r="G63" s="175"/>
    </row>
    <row r="64" spans="2:10" s="40" customFormat="1" ht="18" customHeight="1">
      <c r="B64" s="710" t="s">
        <v>320</v>
      </c>
      <c r="C64" s="712"/>
      <c r="D64" s="702" t="s">
        <v>309</v>
      </c>
      <c r="E64" s="703"/>
      <c r="F64" s="704"/>
    </row>
    <row r="65" spans="2:6" s="40" customFormat="1" ht="18" customHeight="1">
      <c r="B65" s="710" t="s">
        <v>321</v>
      </c>
      <c r="C65" s="712"/>
      <c r="D65" s="702"/>
      <c r="E65" s="703"/>
      <c r="F65" s="704"/>
    </row>
    <row r="66" spans="2:6" s="40" customFormat="1" ht="18" customHeight="1">
      <c r="B66" s="407" t="s">
        <v>322</v>
      </c>
      <c r="C66" s="174"/>
      <c r="D66" s="702"/>
      <c r="E66" s="703"/>
      <c r="F66" s="704"/>
    </row>
    <row r="67" spans="2:6" s="40" customFormat="1" ht="18" customHeight="1">
      <c r="B67" s="710" t="s">
        <v>323</v>
      </c>
      <c r="C67" s="712"/>
      <c r="D67" s="702" t="s">
        <v>309</v>
      </c>
      <c r="E67" s="703"/>
      <c r="F67" s="704"/>
    </row>
    <row r="68" spans="2:6" s="40" customFormat="1" ht="24.75" customHeight="1">
      <c r="B68" s="710" t="s">
        <v>324</v>
      </c>
      <c r="C68" s="712"/>
      <c r="D68" s="702" t="s">
        <v>309</v>
      </c>
      <c r="E68" s="703"/>
      <c r="F68" s="704"/>
    </row>
    <row r="69" spans="2:6" s="40" customFormat="1" ht="18" customHeight="1">
      <c r="B69" s="710" t="s">
        <v>325</v>
      </c>
      <c r="C69" s="712"/>
      <c r="D69" s="702" t="s">
        <v>309</v>
      </c>
      <c r="E69" s="703"/>
      <c r="F69" s="704"/>
    </row>
    <row r="70" spans="2:6" s="40" customFormat="1" ht="18" customHeight="1">
      <c r="B70" s="407" t="s">
        <v>326</v>
      </c>
      <c r="C70" s="174"/>
      <c r="D70" s="702"/>
      <c r="E70" s="703"/>
      <c r="F70" s="704"/>
    </row>
    <row r="71" spans="2:6" s="40" customFormat="1" ht="18" customHeight="1">
      <c r="B71" s="705" t="s">
        <v>327</v>
      </c>
      <c r="C71" s="706"/>
      <c r="D71" s="702" t="s">
        <v>309</v>
      </c>
      <c r="E71" s="703"/>
      <c r="F71" s="704"/>
    </row>
    <row r="72" spans="2:6" s="40" customFormat="1" ht="18" customHeight="1">
      <c r="B72" s="407" t="s">
        <v>328</v>
      </c>
      <c r="C72" s="174"/>
      <c r="D72" s="702"/>
      <c r="E72" s="703"/>
      <c r="F72" s="704"/>
    </row>
    <row r="73" spans="2:6" s="40" customFormat="1" ht="18" customHeight="1">
      <c r="B73" s="710" t="s">
        <v>329</v>
      </c>
      <c r="C73" s="712"/>
      <c r="D73" s="702" t="s">
        <v>309</v>
      </c>
      <c r="E73" s="703"/>
      <c r="F73" s="704"/>
    </row>
    <row r="74" spans="2:6" s="40" customFormat="1" ht="18" customHeight="1">
      <c r="B74" s="710" t="s">
        <v>330</v>
      </c>
      <c r="C74" s="712"/>
      <c r="D74" s="702" t="s">
        <v>309</v>
      </c>
      <c r="E74" s="703"/>
      <c r="F74" s="704"/>
    </row>
    <row r="75" spans="2:6" s="40" customFormat="1" ht="18" customHeight="1">
      <c r="B75" s="710" t="s">
        <v>331</v>
      </c>
      <c r="C75" s="712"/>
      <c r="D75" s="702" t="s">
        <v>309</v>
      </c>
      <c r="E75" s="703"/>
      <c r="F75" s="704"/>
    </row>
    <row r="76" spans="2:6" s="40" customFormat="1" ht="18" customHeight="1">
      <c r="B76" s="407" t="s">
        <v>332</v>
      </c>
      <c r="C76" s="174"/>
      <c r="D76" s="702"/>
      <c r="E76" s="703"/>
      <c r="F76" s="704"/>
    </row>
    <row r="77" spans="2:6" s="40" customFormat="1" ht="18" customHeight="1">
      <c r="B77" s="710" t="s">
        <v>333</v>
      </c>
      <c r="C77" s="711"/>
      <c r="D77" s="702" t="s">
        <v>309</v>
      </c>
      <c r="E77" s="703"/>
      <c r="F77" s="704"/>
    </row>
    <row r="78" spans="2:6" s="40" customFormat="1" ht="18" customHeight="1">
      <c r="B78" s="407" t="s">
        <v>334</v>
      </c>
      <c r="C78" s="174"/>
      <c r="D78" s="702"/>
      <c r="E78" s="703"/>
      <c r="F78" s="704"/>
    </row>
    <row r="79" spans="2:6" s="40" customFormat="1" ht="18" customHeight="1">
      <c r="B79" s="710" t="s">
        <v>335</v>
      </c>
      <c r="C79" s="711"/>
      <c r="D79" s="702" t="s">
        <v>309</v>
      </c>
      <c r="E79" s="703"/>
      <c r="F79" s="704"/>
    </row>
    <row r="80" spans="2:6" s="40" customFormat="1" ht="27.75" customHeight="1">
      <c r="B80" s="705" t="s">
        <v>336</v>
      </c>
      <c r="C80" s="706"/>
      <c r="D80" s="702" t="s">
        <v>309</v>
      </c>
      <c r="E80" s="703"/>
      <c r="F80" s="704"/>
    </row>
    <row r="81" spans="2:6" s="40" customFormat="1" ht="18" customHeight="1">
      <c r="B81" s="407" t="s">
        <v>337</v>
      </c>
      <c r="C81" s="174"/>
      <c r="D81" s="702"/>
      <c r="E81" s="703"/>
      <c r="F81" s="704"/>
    </row>
    <row r="82" spans="2:6" s="40" customFormat="1" ht="18" customHeight="1">
      <c r="B82" s="705" t="s">
        <v>1366</v>
      </c>
      <c r="C82" s="706"/>
      <c r="D82" s="702" t="s">
        <v>309</v>
      </c>
      <c r="E82" s="703"/>
      <c r="F82" s="704"/>
    </row>
    <row r="83" spans="2:6" s="40" customFormat="1" ht="26.25" customHeight="1">
      <c r="B83" s="705" t="s">
        <v>339</v>
      </c>
      <c r="C83" s="706"/>
      <c r="D83" s="702" t="s">
        <v>309</v>
      </c>
      <c r="E83" s="703"/>
      <c r="F83" s="704"/>
    </row>
    <row r="84" spans="2:6" s="40" customFormat="1" ht="27" customHeight="1">
      <c r="B84" s="705" t="s">
        <v>340</v>
      </c>
      <c r="C84" s="706"/>
      <c r="D84" s="702" t="s">
        <v>309</v>
      </c>
      <c r="E84" s="703"/>
      <c r="F84" s="704"/>
    </row>
    <row r="85" spans="2:6" s="40" customFormat="1" ht="18" customHeight="1">
      <c r="B85" s="407" t="s">
        <v>341</v>
      </c>
      <c r="C85" s="174"/>
      <c r="D85" s="702"/>
      <c r="E85" s="703"/>
      <c r="F85" s="704"/>
    </row>
    <row r="86" spans="2:6" s="40" customFormat="1" ht="18" customHeight="1">
      <c r="B86" s="705" t="s">
        <v>1426</v>
      </c>
      <c r="C86" s="706"/>
      <c r="D86" s="702" t="s">
        <v>309</v>
      </c>
      <c r="E86" s="703"/>
      <c r="F86" s="704"/>
    </row>
    <row r="87" spans="2:6" s="40" customFormat="1" ht="27" customHeight="1">
      <c r="B87" s="705" t="s">
        <v>1427</v>
      </c>
      <c r="C87" s="706"/>
      <c r="D87" s="702" t="s">
        <v>309</v>
      </c>
      <c r="E87" s="703"/>
      <c r="F87" s="704"/>
    </row>
    <row r="88" spans="2:6" s="40" customFormat="1" ht="18" customHeight="1">
      <c r="B88" s="407" t="s">
        <v>344</v>
      </c>
      <c r="C88" s="174"/>
      <c r="D88" s="702"/>
      <c r="E88" s="703"/>
      <c r="F88" s="704"/>
    </row>
    <row r="89" spans="2:6" s="40" customFormat="1" ht="27" customHeight="1">
      <c r="B89" s="705" t="s">
        <v>345</v>
      </c>
      <c r="C89" s="706"/>
      <c r="D89" s="702" t="s">
        <v>309</v>
      </c>
      <c r="E89" s="703"/>
      <c r="F89" s="704"/>
    </row>
    <row r="90" spans="2:6" s="40" customFormat="1" ht="18" customHeight="1">
      <c r="B90" s="705" t="s">
        <v>346</v>
      </c>
      <c r="C90" s="706"/>
      <c r="D90" s="702" t="s">
        <v>309</v>
      </c>
      <c r="E90" s="703"/>
      <c r="F90" s="704"/>
    </row>
    <row r="91" spans="2:6" s="40" customFormat="1" ht="18" customHeight="1">
      <c r="B91" s="705" t="s">
        <v>347</v>
      </c>
      <c r="C91" s="709"/>
      <c r="D91" s="702" t="s">
        <v>309</v>
      </c>
      <c r="E91" s="703"/>
      <c r="F91" s="704"/>
    </row>
    <row r="92" spans="2:6" s="40" customFormat="1" ht="18" customHeight="1">
      <c r="B92" s="407" t="s">
        <v>348</v>
      </c>
      <c r="C92" s="174"/>
      <c r="D92" s="702"/>
      <c r="E92" s="703"/>
      <c r="F92" s="704"/>
    </row>
    <row r="93" spans="2:6" s="40" customFormat="1" ht="18" customHeight="1">
      <c r="B93" s="705" t="s">
        <v>349</v>
      </c>
      <c r="C93" s="706"/>
      <c r="D93" s="702" t="s">
        <v>309</v>
      </c>
      <c r="E93" s="703"/>
      <c r="F93" s="704"/>
    </row>
    <row r="94" spans="2:6" s="40" customFormat="1" ht="18" customHeight="1">
      <c r="B94" s="705" t="s">
        <v>350</v>
      </c>
      <c r="C94" s="706"/>
      <c r="D94" s="702" t="s">
        <v>309</v>
      </c>
      <c r="E94" s="703"/>
      <c r="F94" s="704"/>
    </row>
    <row r="95" spans="2:6" s="40" customFormat="1" ht="18" customHeight="1">
      <c r="B95" s="705" t="s">
        <v>351</v>
      </c>
      <c r="C95" s="706"/>
      <c r="D95" s="702" t="s">
        <v>309</v>
      </c>
      <c r="E95" s="703"/>
      <c r="F95" s="704"/>
    </row>
    <row r="96" spans="2:6" s="40" customFormat="1" ht="18" customHeight="1">
      <c r="B96" s="407" t="s">
        <v>352</v>
      </c>
      <c r="C96" s="176"/>
      <c r="D96" s="702"/>
      <c r="E96" s="703"/>
      <c r="F96" s="704"/>
    </row>
    <row r="97" spans="2:6" s="40" customFormat="1" ht="18" customHeight="1">
      <c r="B97" s="705" t="s">
        <v>353</v>
      </c>
      <c r="C97" s="706"/>
      <c r="D97" s="702" t="s">
        <v>309</v>
      </c>
      <c r="E97" s="703"/>
      <c r="F97" s="704"/>
    </row>
    <row r="98" spans="2:6" s="40" customFormat="1" ht="18" customHeight="1">
      <c r="B98" s="705" t="s">
        <v>354</v>
      </c>
      <c r="C98" s="706"/>
      <c r="D98" s="702" t="s">
        <v>309</v>
      </c>
      <c r="E98" s="703"/>
      <c r="F98" s="704"/>
    </row>
    <row r="99" spans="2:6" s="40" customFormat="1" ht="27" customHeight="1">
      <c r="B99" s="705" t="s">
        <v>355</v>
      </c>
      <c r="C99" s="706"/>
      <c r="D99" s="702" t="s">
        <v>309</v>
      </c>
      <c r="E99" s="703"/>
      <c r="F99" s="704"/>
    </row>
    <row r="100" spans="2:6" s="40" customFormat="1" ht="18" customHeight="1">
      <c r="B100" s="705" t="s">
        <v>356</v>
      </c>
      <c r="C100" s="706"/>
      <c r="D100" s="702" t="s">
        <v>309</v>
      </c>
      <c r="E100" s="703"/>
      <c r="F100" s="704"/>
    </row>
    <row r="101" spans="2:6" s="40" customFormat="1" ht="18" customHeight="1">
      <c r="B101" s="407" t="s">
        <v>357</v>
      </c>
      <c r="C101" s="174"/>
      <c r="D101" s="702"/>
      <c r="E101" s="703"/>
      <c r="F101" s="704"/>
    </row>
    <row r="102" spans="2:6" s="40" customFormat="1" ht="18" customHeight="1">
      <c r="B102" s="705" t="s">
        <v>358</v>
      </c>
      <c r="C102" s="706"/>
      <c r="D102" s="702" t="s">
        <v>309</v>
      </c>
      <c r="E102" s="703"/>
      <c r="F102" s="704"/>
    </row>
    <row r="103" spans="2:6" s="40" customFormat="1" ht="18" customHeight="1">
      <c r="B103" s="705" t="s">
        <v>359</v>
      </c>
      <c r="C103" s="706"/>
      <c r="D103" s="702" t="s">
        <v>309</v>
      </c>
      <c r="E103" s="703"/>
      <c r="F103" s="704"/>
    </row>
    <row r="104" spans="2:6" s="40" customFormat="1" ht="18" customHeight="1">
      <c r="B104" s="705" t="s">
        <v>360</v>
      </c>
      <c r="C104" s="706"/>
      <c r="D104" s="702" t="s">
        <v>309</v>
      </c>
      <c r="E104" s="703"/>
      <c r="F104" s="704"/>
    </row>
    <row r="105" spans="2:6" s="40" customFormat="1" ht="18" customHeight="1">
      <c r="B105" s="407" t="s">
        <v>361</v>
      </c>
      <c r="C105" s="174"/>
      <c r="D105" s="702"/>
      <c r="E105" s="703"/>
      <c r="F105" s="704"/>
    </row>
    <row r="106" spans="2:6" s="40" customFormat="1" ht="18" customHeight="1">
      <c r="B106" s="705" t="s">
        <v>362</v>
      </c>
      <c r="C106" s="706"/>
      <c r="D106" s="702" t="s">
        <v>309</v>
      </c>
      <c r="E106" s="703"/>
      <c r="F106" s="704"/>
    </row>
    <row r="107" spans="2:6" s="40" customFormat="1" ht="18" customHeight="1">
      <c r="B107" s="705" t="s">
        <v>363</v>
      </c>
      <c r="C107" s="706"/>
      <c r="D107" s="702" t="s">
        <v>309</v>
      </c>
      <c r="E107" s="703"/>
      <c r="F107" s="704"/>
    </row>
    <row r="108" spans="2:6" s="40" customFormat="1" ht="18" customHeight="1">
      <c r="B108" s="705" t="s">
        <v>364</v>
      </c>
      <c r="C108" s="706"/>
      <c r="D108" s="702" t="s">
        <v>309</v>
      </c>
      <c r="E108" s="703"/>
      <c r="F108" s="704"/>
    </row>
    <row r="109" spans="2:6" s="40" customFormat="1" ht="18" customHeight="1">
      <c r="B109" s="705" t="s">
        <v>365</v>
      </c>
      <c r="C109" s="706"/>
      <c r="D109" s="702" t="s">
        <v>309</v>
      </c>
      <c r="E109" s="703"/>
      <c r="F109" s="704"/>
    </row>
    <row r="110" spans="2:6" s="40" customFormat="1" ht="18" customHeight="1">
      <c r="B110" s="407" t="s">
        <v>366</v>
      </c>
      <c r="C110" s="177"/>
      <c r="D110" s="702"/>
      <c r="E110" s="703"/>
      <c r="F110" s="704"/>
    </row>
    <row r="111" spans="2:6" s="40" customFormat="1" ht="18" customHeight="1">
      <c r="B111" s="705" t="s">
        <v>367</v>
      </c>
      <c r="C111" s="706"/>
      <c r="D111" s="702" t="s">
        <v>309</v>
      </c>
      <c r="E111" s="703"/>
      <c r="F111" s="704"/>
    </row>
    <row r="112" spans="2:6" s="40" customFormat="1" ht="18" customHeight="1">
      <c r="B112" s="705" t="s">
        <v>368</v>
      </c>
      <c r="C112" s="706"/>
      <c r="D112" s="702" t="s">
        <v>309</v>
      </c>
      <c r="E112" s="703"/>
      <c r="F112" s="704"/>
    </row>
    <row r="113" spans="2:6" s="40" customFormat="1" ht="18" customHeight="1">
      <c r="B113" s="705" t="s">
        <v>1621</v>
      </c>
      <c r="C113" s="706"/>
      <c r="D113" s="702" t="s">
        <v>309</v>
      </c>
      <c r="E113" s="703"/>
      <c r="F113" s="704"/>
    </row>
    <row r="114" spans="2:6" s="40" customFormat="1" ht="18" customHeight="1">
      <c r="B114" s="705" t="s">
        <v>370</v>
      </c>
      <c r="C114" s="706"/>
      <c r="D114" s="702" t="s">
        <v>309</v>
      </c>
      <c r="E114" s="703"/>
      <c r="F114" s="704"/>
    </row>
    <row r="115" spans="2:6" s="40" customFormat="1" ht="27" customHeight="1">
      <c r="B115" s="705" t="s">
        <v>371</v>
      </c>
      <c r="C115" s="706"/>
      <c r="D115" s="702" t="s">
        <v>309</v>
      </c>
      <c r="E115" s="703"/>
      <c r="F115" s="704"/>
    </row>
    <row r="116" spans="2:6" s="40" customFormat="1" ht="18" customHeight="1">
      <c r="B116" s="705" t="s">
        <v>372</v>
      </c>
      <c r="C116" s="706"/>
      <c r="D116" s="702" t="s">
        <v>309</v>
      </c>
      <c r="E116" s="703"/>
      <c r="F116" s="704"/>
    </row>
    <row r="117" spans="2:6" s="40" customFormat="1" ht="18" customHeight="1">
      <c r="B117" s="705" t="s">
        <v>373</v>
      </c>
      <c r="C117" s="706"/>
      <c r="D117" s="702" t="s">
        <v>309</v>
      </c>
      <c r="E117" s="703"/>
      <c r="F117" s="704"/>
    </row>
    <row r="118" spans="2:6" s="40" customFormat="1" ht="18" customHeight="1">
      <c r="B118" s="705" t="s">
        <v>374</v>
      </c>
      <c r="C118" s="706"/>
      <c r="D118" s="702" t="s">
        <v>309</v>
      </c>
      <c r="E118" s="703"/>
      <c r="F118" s="704"/>
    </row>
    <row r="119" spans="2:6" s="40" customFormat="1" ht="18" customHeight="1">
      <c r="B119" s="705" t="s">
        <v>375</v>
      </c>
      <c r="C119" s="706"/>
      <c r="D119" s="702" t="s">
        <v>309</v>
      </c>
      <c r="E119" s="703"/>
      <c r="F119" s="704"/>
    </row>
    <row r="120" spans="2:6" s="40" customFormat="1" ht="18" customHeight="1">
      <c r="B120" s="705" t="s">
        <v>376</v>
      </c>
      <c r="C120" s="706"/>
      <c r="D120" s="702" t="s">
        <v>309</v>
      </c>
      <c r="E120" s="703"/>
      <c r="F120" s="704"/>
    </row>
    <row r="121" spans="2:6" s="40" customFormat="1" ht="18" customHeight="1">
      <c r="B121" s="407" t="s">
        <v>377</v>
      </c>
      <c r="C121" s="177"/>
      <c r="D121" s="702"/>
      <c r="E121" s="703"/>
      <c r="F121" s="704"/>
    </row>
    <row r="122" spans="2:6" s="40" customFormat="1" ht="18" customHeight="1">
      <c r="B122" s="705" t="s">
        <v>378</v>
      </c>
      <c r="C122" s="706"/>
      <c r="D122" s="702" t="s">
        <v>309</v>
      </c>
      <c r="E122" s="703"/>
      <c r="F122" s="704"/>
    </row>
    <row r="123" spans="2:6" s="40" customFormat="1" ht="18" customHeight="1">
      <c r="B123" s="705" t="s">
        <v>379</v>
      </c>
      <c r="C123" s="706"/>
      <c r="D123" s="702" t="s">
        <v>309</v>
      </c>
      <c r="E123" s="703"/>
      <c r="F123" s="704"/>
    </row>
    <row r="124" spans="2:6" s="40" customFormat="1" ht="18" customHeight="1">
      <c r="B124" s="705" t="s">
        <v>380</v>
      </c>
      <c r="C124" s="709"/>
      <c r="D124" s="702" t="s">
        <v>309</v>
      </c>
      <c r="E124" s="703"/>
      <c r="F124" s="704"/>
    </row>
    <row r="125" spans="2:6" s="40" customFormat="1" ht="18" customHeight="1">
      <c r="B125" s="705" t="s">
        <v>381</v>
      </c>
      <c r="C125" s="706"/>
      <c r="D125" s="702" t="s">
        <v>309</v>
      </c>
      <c r="E125" s="703"/>
      <c r="F125" s="704"/>
    </row>
    <row r="126" spans="2:6" s="40" customFormat="1" ht="18" customHeight="1">
      <c r="B126" s="705" t="s">
        <v>382</v>
      </c>
      <c r="C126" s="706"/>
      <c r="D126" s="702" t="s">
        <v>309</v>
      </c>
      <c r="E126" s="703"/>
      <c r="F126" s="704"/>
    </row>
    <row r="127" spans="2:6" s="40" customFormat="1" ht="18" customHeight="1">
      <c r="B127" s="705" t="s">
        <v>383</v>
      </c>
      <c r="C127" s="706"/>
      <c r="D127" s="702" t="s">
        <v>309</v>
      </c>
      <c r="E127" s="703"/>
      <c r="F127" s="704"/>
    </row>
    <row r="128" spans="2:6" s="40" customFormat="1" ht="18" customHeight="1">
      <c r="B128" s="705" t="s">
        <v>384</v>
      </c>
      <c r="C128" s="706"/>
      <c r="D128" s="702" t="s">
        <v>309</v>
      </c>
      <c r="E128" s="703"/>
      <c r="F128" s="704"/>
    </row>
    <row r="129" spans="2:6" s="40" customFormat="1" ht="18" customHeight="1">
      <c r="B129" s="705" t="s">
        <v>385</v>
      </c>
      <c r="C129" s="706"/>
      <c r="D129" s="702" t="s">
        <v>309</v>
      </c>
      <c r="E129" s="703"/>
      <c r="F129" s="704"/>
    </row>
    <row r="130" spans="2:6" s="40" customFormat="1" ht="18" customHeight="1">
      <c r="B130" s="705" t="s">
        <v>386</v>
      </c>
      <c r="C130" s="706"/>
      <c r="D130" s="702" t="s">
        <v>309</v>
      </c>
      <c r="E130" s="703"/>
      <c r="F130" s="704"/>
    </row>
    <row r="131" spans="2:6" s="40" customFormat="1" ht="18" customHeight="1">
      <c r="B131" s="705" t="s">
        <v>387</v>
      </c>
      <c r="C131" s="706"/>
      <c r="D131" s="702" t="s">
        <v>309</v>
      </c>
      <c r="E131" s="703"/>
      <c r="F131" s="704"/>
    </row>
    <row r="132" spans="2:6" s="40" customFormat="1" ht="18" customHeight="1">
      <c r="B132" s="407" t="s">
        <v>388</v>
      </c>
      <c r="C132" s="177"/>
      <c r="D132" s="702"/>
      <c r="E132" s="703"/>
      <c r="F132" s="704"/>
    </row>
    <row r="133" spans="2:6" s="40" customFormat="1" ht="18" customHeight="1">
      <c r="B133" s="705" t="s">
        <v>389</v>
      </c>
      <c r="C133" s="706"/>
      <c r="D133" s="702" t="s">
        <v>309</v>
      </c>
      <c r="E133" s="703"/>
      <c r="F133" s="704"/>
    </row>
    <row r="134" spans="2:6" s="40" customFormat="1" ht="18" customHeight="1">
      <c r="B134" s="407" t="s">
        <v>390</v>
      </c>
      <c r="C134" s="177"/>
      <c r="D134" s="702"/>
      <c r="E134" s="703"/>
      <c r="F134" s="704"/>
    </row>
    <row r="135" spans="2:6" s="40" customFormat="1" ht="18" customHeight="1">
      <c r="B135" s="705" t="s">
        <v>391</v>
      </c>
      <c r="C135" s="706"/>
      <c r="D135" s="702" t="s">
        <v>309</v>
      </c>
      <c r="E135" s="703"/>
      <c r="F135" s="704"/>
    </row>
    <row r="136" spans="2:6" s="40" customFormat="1" ht="18" customHeight="1">
      <c r="B136" s="705" t="s">
        <v>392</v>
      </c>
      <c r="C136" s="706"/>
      <c r="D136" s="702" t="s">
        <v>309</v>
      </c>
      <c r="E136" s="703"/>
      <c r="F136" s="704"/>
    </row>
    <row r="137" spans="2:6" s="40" customFormat="1" ht="18" customHeight="1">
      <c r="B137" s="705" t="s">
        <v>393</v>
      </c>
      <c r="C137" s="706"/>
      <c r="D137" s="702" t="s">
        <v>309</v>
      </c>
      <c r="E137" s="703"/>
      <c r="F137" s="704"/>
    </row>
    <row r="138" spans="2:6" s="40" customFormat="1" ht="18" customHeight="1">
      <c r="B138" s="705" t="s">
        <v>394</v>
      </c>
      <c r="C138" s="706"/>
      <c r="D138" s="702" t="s">
        <v>309</v>
      </c>
      <c r="E138" s="703"/>
      <c r="F138" s="704"/>
    </row>
    <row r="139" spans="2:6" s="40" customFormat="1" ht="18" customHeight="1">
      <c r="B139" s="407" t="s">
        <v>395</v>
      </c>
      <c r="C139" s="174"/>
      <c r="D139" s="702"/>
      <c r="E139" s="703"/>
      <c r="F139" s="704"/>
    </row>
    <row r="140" spans="2:6" s="40" customFormat="1" ht="18" customHeight="1">
      <c r="B140" s="705" t="s">
        <v>396</v>
      </c>
      <c r="C140" s="706"/>
      <c r="D140" s="702" t="s">
        <v>309</v>
      </c>
      <c r="E140" s="703"/>
      <c r="F140" s="704"/>
    </row>
    <row r="141" spans="2:6" s="40" customFormat="1" ht="18" customHeight="1">
      <c r="B141" s="705" t="s">
        <v>397</v>
      </c>
      <c r="C141" s="706"/>
      <c r="D141" s="702" t="s">
        <v>309</v>
      </c>
      <c r="E141" s="703"/>
      <c r="F141" s="704"/>
    </row>
    <row r="142" spans="2:6" s="40" customFormat="1" ht="18" customHeight="1">
      <c r="B142" s="705" t="s">
        <v>398</v>
      </c>
      <c r="C142" s="706"/>
      <c r="D142" s="702" t="s">
        <v>309</v>
      </c>
      <c r="E142" s="703"/>
      <c r="F142" s="704"/>
    </row>
    <row r="143" spans="2:6" s="40" customFormat="1" ht="18" customHeight="1">
      <c r="B143" s="705" t="s">
        <v>399</v>
      </c>
      <c r="C143" s="706"/>
      <c r="D143" s="702" t="s">
        <v>309</v>
      </c>
      <c r="E143" s="703"/>
      <c r="F143" s="704"/>
    </row>
    <row r="144" spans="2:6" s="40" customFormat="1" ht="18" customHeight="1">
      <c r="B144" s="407" t="s">
        <v>400</v>
      </c>
      <c r="C144" s="177"/>
      <c r="D144" s="702"/>
      <c r="E144" s="703"/>
      <c r="F144" s="704"/>
    </row>
    <row r="145" spans="2:6" s="40" customFormat="1" ht="18" customHeight="1">
      <c r="B145" s="705" t="s">
        <v>401</v>
      </c>
      <c r="C145" s="706"/>
      <c r="D145" s="702" t="s">
        <v>309</v>
      </c>
      <c r="E145" s="703"/>
      <c r="F145" s="704"/>
    </row>
    <row r="146" spans="2:6" s="40" customFormat="1" ht="18" customHeight="1">
      <c r="B146" s="705" t="s">
        <v>402</v>
      </c>
      <c r="C146" s="706"/>
      <c r="D146" s="702" t="s">
        <v>309</v>
      </c>
      <c r="E146" s="703"/>
      <c r="F146" s="704"/>
    </row>
    <row r="147" spans="2:6" s="40" customFormat="1" ht="18" customHeight="1">
      <c r="B147" s="705" t="s">
        <v>403</v>
      </c>
      <c r="C147" s="706"/>
      <c r="D147" s="702" t="s">
        <v>309</v>
      </c>
      <c r="E147" s="703"/>
      <c r="F147" s="704"/>
    </row>
    <row r="148" spans="2:6" s="40" customFormat="1" ht="18" customHeight="1">
      <c r="B148" s="705" t="s">
        <v>404</v>
      </c>
      <c r="C148" s="706"/>
      <c r="D148" s="702" t="s">
        <v>309</v>
      </c>
      <c r="E148" s="703"/>
      <c r="F148" s="704"/>
    </row>
    <row r="149" spans="2:6" s="40" customFormat="1" ht="25.5" customHeight="1">
      <c r="B149" s="705" t="s">
        <v>1356</v>
      </c>
      <c r="C149" s="706"/>
      <c r="D149" s="702" t="s">
        <v>309</v>
      </c>
      <c r="E149" s="703"/>
      <c r="F149" s="704"/>
    </row>
    <row r="150" spans="2:6" s="40" customFormat="1" ht="18" customHeight="1">
      <c r="B150" s="705" t="s">
        <v>406</v>
      </c>
      <c r="C150" s="706"/>
      <c r="D150" s="702" t="s">
        <v>309</v>
      </c>
      <c r="E150" s="703"/>
      <c r="F150" s="704"/>
    </row>
    <row r="151" spans="2:6" s="40" customFormat="1" ht="18" customHeight="1">
      <c r="B151" s="705" t="s">
        <v>407</v>
      </c>
      <c r="C151" s="706"/>
      <c r="D151" s="702" t="s">
        <v>309</v>
      </c>
      <c r="E151" s="703"/>
      <c r="F151" s="704"/>
    </row>
    <row r="152" spans="2:6" s="40" customFormat="1" ht="18" customHeight="1">
      <c r="B152" s="705" t="s">
        <v>408</v>
      </c>
      <c r="C152" s="706"/>
      <c r="D152" s="702" t="s">
        <v>309</v>
      </c>
      <c r="E152" s="703"/>
      <c r="F152" s="704"/>
    </row>
    <row r="153" spans="2:6" s="40" customFormat="1" ht="18" customHeight="1">
      <c r="B153" s="705" t="s">
        <v>409</v>
      </c>
      <c r="C153" s="706"/>
      <c r="D153" s="702" t="s">
        <v>309</v>
      </c>
      <c r="E153" s="703"/>
      <c r="F153" s="704"/>
    </row>
    <row r="154" spans="2:6" s="40" customFormat="1" ht="18" customHeight="1">
      <c r="B154" s="407" t="s">
        <v>410</v>
      </c>
      <c r="C154" s="174"/>
      <c r="D154" s="702"/>
      <c r="E154" s="703"/>
      <c r="F154" s="704"/>
    </row>
    <row r="155" spans="2:6" s="40" customFormat="1" ht="18" customHeight="1">
      <c r="B155" s="655" t="s">
        <v>1643</v>
      </c>
      <c r="C155" s="706"/>
      <c r="D155" s="702" t="s">
        <v>309</v>
      </c>
      <c r="E155" s="703"/>
      <c r="F155" s="704"/>
    </row>
    <row r="156" spans="2:6" s="40" customFormat="1" ht="18" customHeight="1">
      <c r="B156" s="407" t="s">
        <v>412</v>
      </c>
      <c r="C156" s="177"/>
      <c r="D156" s="702"/>
      <c r="E156" s="703"/>
      <c r="F156" s="704"/>
    </row>
    <row r="157" spans="2:6" s="40" customFormat="1" ht="18" customHeight="1">
      <c r="B157" s="705" t="s">
        <v>413</v>
      </c>
      <c r="C157" s="706"/>
      <c r="D157" s="702" t="s">
        <v>309</v>
      </c>
      <c r="E157" s="703"/>
      <c r="F157" s="704"/>
    </row>
    <row r="158" spans="2:6" s="40" customFormat="1" ht="18" customHeight="1">
      <c r="B158" s="705" t="s">
        <v>414</v>
      </c>
      <c r="C158" s="706"/>
      <c r="D158" s="702" t="s">
        <v>309</v>
      </c>
      <c r="E158" s="703"/>
      <c r="F158" s="704"/>
    </row>
    <row r="159" spans="2:6" s="40" customFormat="1" ht="18" customHeight="1">
      <c r="B159" s="407" t="s">
        <v>415</v>
      </c>
      <c r="C159" s="177"/>
      <c r="D159" s="702"/>
      <c r="E159" s="703"/>
      <c r="F159" s="704"/>
    </row>
    <row r="160" spans="2:6" s="40" customFormat="1" ht="18" customHeight="1">
      <c r="B160" s="705" t="s">
        <v>416</v>
      </c>
      <c r="C160" s="709"/>
      <c r="D160" s="702"/>
      <c r="E160" s="703"/>
      <c r="F160" s="704"/>
    </row>
    <row r="161" spans="2:10" s="40" customFormat="1" ht="18" customHeight="1">
      <c r="B161" s="705" t="s">
        <v>417</v>
      </c>
      <c r="C161" s="709"/>
      <c r="D161" s="702" t="s">
        <v>309</v>
      </c>
      <c r="E161" s="703"/>
      <c r="F161" s="704"/>
    </row>
    <row r="162" spans="2:10" s="175" customFormat="1" ht="26.25" customHeight="1">
      <c r="B162" s="705" t="s">
        <v>418</v>
      </c>
      <c r="C162" s="709"/>
      <c r="D162" s="702" t="s">
        <v>309</v>
      </c>
      <c r="E162" s="703"/>
      <c r="F162" s="704"/>
      <c r="G162" s="40"/>
    </row>
    <row r="163" spans="2:10" s="40" customFormat="1" ht="26.25" customHeight="1">
      <c r="B163" s="705" t="s">
        <v>419</v>
      </c>
      <c r="C163" s="709"/>
      <c r="D163" s="702" t="s">
        <v>309</v>
      </c>
      <c r="E163" s="703"/>
      <c r="F163" s="704"/>
    </row>
    <row r="164" spans="2:10" s="40" customFormat="1" ht="18" customHeight="1">
      <c r="B164" s="705" t="s">
        <v>420</v>
      </c>
      <c r="C164" s="709"/>
      <c r="D164" s="702" t="s">
        <v>309</v>
      </c>
      <c r="E164" s="703"/>
      <c r="F164" s="704"/>
    </row>
    <row r="165" spans="2:10" s="40" customFormat="1" ht="18" customHeight="1">
      <c r="B165" s="407" t="s">
        <v>421</v>
      </c>
      <c r="C165" s="177"/>
      <c r="D165" s="702"/>
      <c r="E165" s="703"/>
      <c r="F165" s="704"/>
    </row>
    <row r="166" spans="2:10" s="40" customFormat="1" ht="26.25" customHeight="1">
      <c r="B166" s="705" t="s">
        <v>422</v>
      </c>
      <c r="C166" s="706"/>
      <c r="D166" s="702" t="s">
        <v>309</v>
      </c>
      <c r="E166" s="703"/>
      <c r="F166" s="704"/>
      <c r="H166"/>
    </row>
    <row r="167" spans="2:10" s="40" customFormat="1" ht="26.25" customHeight="1">
      <c r="B167" s="705" t="s">
        <v>423</v>
      </c>
      <c r="C167" s="706"/>
      <c r="D167" s="702" t="s">
        <v>309</v>
      </c>
      <c r="E167" s="703"/>
      <c r="F167" s="704"/>
      <c r="H167"/>
    </row>
    <row r="168" spans="2:10" s="40" customFormat="1" ht="26.1" customHeight="1">
      <c r="B168" s="705" t="s">
        <v>424</v>
      </c>
      <c r="C168" s="709"/>
      <c r="D168" s="702" t="s">
        <v>309</v>
      </c>
      <c r="E168" s="703"/>
      <c r="F168" s="704"/>
    </row>
    <row r="169" spans="2:10" s="40" customFormat="1" ht="18" customHeight="1">
      <c r="B169" s="407" t="s">
        <v>425</v>
      </c>
      <c r="C169" s="177"/>
      <c r="D169" s="702"/>
      <c r="E169" s="703"/>
      <c r="F169" s="704"/>
    </row>
    <row r="170" spans="2:10" s="40" customFormat="1" ht="18" customHeight="1">
      <c r="B170" s="705" t="s">
        <v>426</v>
      </c>
      <c r="C170" s="706"/>
      <c r="D170" s="702" t="s">
        <v>309</v>
      </c>
      <c r="E170" s="703"/>
      <c r="F170" s="704"/>
      <c r="H170" s="178"/>
    </row>
    <row r="171" spans="2:10" s="40" customFormat="1" ht="18" customHeight="1">
      <c r="B171" s="407" t="s">
        <v>427</v>
      </c>
      <c r="C171" s="177"/>
      <c r="D171" s="702"/>
      <c r="E171" s="703"/>
      <c r="F171" s="704"/>
    </row>
    <row r="172" spans="2:10" s="40" customFormat="1" ht="18" customHeight="1">
      <c r="B172" s="705" t="s">
        <v>428</v>
      </c>
      <c r="C172" s="706"/>
      <c r="D172" s="702" t="s">
        <v>309</v>
      </c>
      <c r="E172" s="703"/>
      <c r="F172" s="704"/>
      <c r="H172" s="179"/>
    </row>
    <row r="173" spans="2:10" s="40" customFormat="1" ht="18" customHeight="1">
      <c r="B173" s="407" t="s">
        <v>429</v>
      </c>
      <c r="C173" s="174"/>
      <c r="D173" s="702"/>
      <c r="E173" s="703"/>
      <c r="F173" s="704"/>
    </row>
    <row r="174" spans="2:10" s="40" customFormat="1" ht="18" customHeight="1">
      <c r="B174" s="705" t="s">
        <v>430</v>
      </c>
      <c r="C174" s="706"/>
      <c r="D174" s="702" t="s">
        <v>309</v>
      </c>
      <c r="E174" s="703"/>
      <c r="F174" s="704"/>
      <c r="H174" s="178"/>
      <c r="I174" s="462" t="s">
        <v>1364</v>
      </c>
      <c r="J174" s="449">
        <f>+'1.HOUSE PRICE'!F241</f>
        <v>5000</v>
      </c>
    </row>
    <row r="175" spans="2:10" s="40" customFormat="1" ht="18" customHeight="1" thickBot="1">
      <c r="B175" s="707" t="s">
        <v>431</v>
      </c>
      <c r="C175" s="708"/>
      <c r="D175" s="692" t="s">
        <v>309</v>
      </c>
      <c r="E175" s="693"/>
      <c r="F175" s="694"/>
    </row>
    <row r="176" spans="2:10" ht="18" customHeight="1">
      <c r="B176" s="695"/>
      <c r="C176" s="695"/>
      <c r="D176" s="449"/>
    </row>
    <row r="177" spans="2:18" ht="18" customHeight="1">
      <c r="B177" s="464"/>
      <c r="C177" s="464"/>
      <c r="D177" s="449"/>
      <c r="H177" s="458" t="s">
        <v>432</v>
      </c>
      <c r="I177" s="465"/>
    </row>
    <row r="178" spans="2:18" ht="18" customHeight="1">
      <c r="B178" s="464"/>
      <c r="C178" s="464"/>
      <c r="D178" s="449"/>
      <c r="H178" s="466" t="s">
        <v>434</v>
      </c>
      <c r="I178" s="467">
        <v>463550</v>
      </c>
      <c r="J178" s="449" t="s">
        <v>1802</v>
      </c>
    </row>
    <row r="179" spans="2:18" ht="24.95" customHeight="1" thickBot="1">
      <c r="B179" s="696" t="s">
        <v>1845</v>
      </c>
      <c r="C179" s="696"/>
      <c r="D179" s="469"/>
      <c r="E179" s="469"/>
      <c r="F179" s="469"/>
      <c r="H179" s="470" t="s">
        <v>435</v>
      </c>
      <c r="I179" s="467">
        <f>+'2.TRAVEL'!B43</f>
        <v>0</v>
      </c>
      <c r="J179" s="468"/>
    </row>
    <row r="180" spans="2:18" ht="18" customHeight="1">
      <c r="B180" s="165" t="s">
        <v>436</v>
      </c>
      <c r="C180" s="471" t="str">
        <f>+C46</f>
        <v>Gavin &amp; Taleitha Alder</v>
      </c>
      <c r="D180" s="697" t="s">
        <v>1803</v>
      </c>
      <c r="E180" s="698"/>
      <c r="F180" s="699"/>
      <c r="H180" s="470" t="s">
        <v>438</v>
      </c>
      <c r="I180" s="467">
        <f>+'2.TRAVEL'!I43</f>
        <v>7000</v>
      </c>
      <c r="J180" s="472" t="s">
        <v>439</v>
      </c>
      <c r="K180" s="473"/>
      <c r="L180" s="474"/>
      <c r="M180" s="474"/>
      <c r="N180" s="474"/>
      <c r="O180" s="474"/>
      <c r="P180" s="474"/>
      <c r="Q180" s="474"/>
      <c r="R180" s="475"/>
    </row>
    <row r="181" spans="2:18" ht="18" customHeight="1">
      <c r="B181" s="476" t="s">
        <v>305</v>
      </c>
      <c r="C181" s="700" t="str">
        <f>+C50</f>
        <v>Lot 10, 72 Latham Road Echuca Victoria 3564</v>
      </c>
      <c r="D181" s="700"/>
      <c r="E181" s="700"/>
      <c r="F181" s="701"/>
      <c r="H181" s="477" t="s">
        <v>440</v>
      </c>
      <c r="I181" s="478">
        <f>+'1.HOUSE PRICE'!D241</f>
        <v>9185</v>
      </c>
      <c r="J181" s="472" t="s">
        <v>439</v>
      </c>
      <c r="K181" s="479"/>
      <c r="L181" s="480"/>
      <c r="M181" s="480"/>
      <c r="N181" s="480"/>
      <c r="O181" s="480"/>
      <c r="P181" s="480"/>
      <c r="Q181" s="480"/>
      <c r="R181" s="481"/>
    </row>
    <row r="182" spans="2:18" ht="18" customHeight="1">
      <c r="B182" s="482"/>
      <c r="C182" s="483"/>
      <c r="D182" s="484" t="s">
        <v>441</v>
      </c>
      <c r="E182" s="484" t="s">
        <v>442</v>
      </c>
      <c r="F182" s="485" t="s">
        <v>443</v>
      </c>
      <c r="H182" s="470" t="s">
        <v>444</v>
      </c>
      <c r="I182" s="467">
        <f>+'1.HOUSE PRICE'!E241</f>
        <v>7570</v>
      </c>
      <c r="J182" s="472" t="s">
        <v>439</v>
      </c>
      <c r="K182" s="479"/>
      <c r="L182" s="480"/>
      <c r="M182" s="480"/>
      <c r="N182" s="480"/>
      <c r="O182" s="480"/>
      <c r="P182" s="480"/>
      <c r="Q182" s="480"/>
      <c r="R182" s="481"/>
    </row>
    <row r="183" spans="2:18" ht="21.6" customHeight="1">
      <c r="B183" s="476" t="s">
        <v>445</v>
      </c>
      <c r="C183" s="486" t="str">
        <f>+'1.HOUSE PRICE'!A241</f>
        <v>Inglewood 38</v>
      </c>
      <c r="D183" s="203">
        <f>SUM(I186)</f>
        <v>487305</v>
      </c>
      <c r="E183" s="626"/>
      <c r="F183" s="487">
        <f>SUM(E183-D183)</f>
        <v>-487305</v>
      </c>
      <c r="H183" s="488" t="s">
        <v>446</v>
      </c>
      <c r="I183" s="466"/>
    </row>
    <row r="184" spans="2:18" ht="18" customHeight="1">
      <c r="B184" s="661" t="s">
        <v>316</v>
      </c>
      <c r="C184" s="662"/>
      <c r="D184" s="662"/>
      <c r="E184" s="662"/>
      <c r="F184" s="663"/>
      <c r="H184" s="489"/>
      <c r="I184" s="490"/>
      <c r="J184" s="459"/>
    </row>
    <row r="185" spans="2:18" ht="41.45" customHeight="1">
      <c r="B185" s="687" t="s">
        <v>1653</v>
      </c>
      <c r="C185" s="688"/>
      <c r="D185" s="209">
        <v>1000</v>
      </c>
      <c r="E185" s="204">
        <v>1000</v>
      </c>
      <c r="F185" s="487">
        <f t="shared" ref="F185:F191" si="0">SUM(E185-D185)</f>
        <v>0</v>
      </c>
      <c r="G185" s="594"/>
      <c r="H185" s="466"/>
      <c r="I185" s="466"/>
    </row>
    <row r="186" spans="2:18" ht="18" customHeight="1">
      <c r="B186" s="687" t="s">
        <v>1654</v>
      </c>
      <c r="C186" s="688"/>
      <c r="D186" s="209">
        <v>325</v>
      </c>
      <c r="E186" s="204">
        <v>325</v>
      </c>
      <c r="F186" s="487">
        <f t="shared" si="0"/>
        <v>0</v>
      </c>
      <c r="G186" s="594"/>
      <c r="H186" s="488" t="s">
        <v>173</v>
      </c>
      <c r="I186" s="488">
        <f>SUM(I178:I185)</f>
        <v>487305</v>
      </c>
    </row>
    <row r="187" spans="2:18" ht="18" customHeight="1">
      <c r="B187" s="687" t="s">
        <v>1655</v>
      </c>
      <c r="C187" s="688"/>
      <c r="D187" s="209">
        <v>420</v>
      </c>
      <c r="E187" s="204">
        <v>420</v>
      </c>
      <c r="F187" s="487">
        <f t="shared" si="0"/>
        <v>0</v>
      </c>
      <c r="G187" s="595"/>
    </row>
    <row r="188" spans="2:18" ht="18" customHeight="1">
      <c r="B188" s="687" t="s">
        <v>1702</v>
      </c>
      <c r="C188" s="688"/>
      <c r="D188" s="209">
        <f>27*50</f>
        <v>1350</v>
      </c>
      <c r="E188" s="204">
        <v>1350</v>
      </c>
      <c r="F188" s="487">
        <f t="shared" si="0"/>
        <v>0</v>
      </c>
      <c r="G188" s="594"/>
    </row>
    <row r="189" spans="2:18" ht="18" customHeight="1">
      <c r="B189" s="653" t="s">
        <v>1935</v>
      </c>
      <c r="C189" s="654"/>
      <c r="D189" s="614">
        <f>750+27*100</f>
        <v>3450</v>
      </c>
      <c r="E189" s="615">
        <v>0</v>
      </c>
      <c r="F189" s="616">
        <f t="shared" ref="F189" si="1">SUM(E189-D189)</f>
        <v>-3450</v>
      </c>
      <c r="G189" s="594"/>
      <c r="H189" s="613"/>
      <c r="I189" s="613"/>
      <c r="J189" s="613"/>
      <c r="K189" s="613"/>
      <c r="L189" s="613"/>
      <c r="M189" s="613"/>
      <c r="N189" s="613"/>
      <c r="O189" s="613"/>
      <c r="P189" s="613"/>
    </row>
    <row r="190" spans="2:18" ht="18" customHeight="1">
      <c r="B190" s="687" t="s">
        <v>451</v>
      </c>
      <c r="C190" s="688"/>
      <c r="D190" s="209">
        <v>0</v>
      </c>
      <c r="E190" s="204">
        <v>0</v>
      </c>
      <c r="F190" s="487">
        <f>SUM(E190-D190)</f>
        <v>0</v>
      </c>
      <c r="G190" s="594"/>
      <c r="I190" s="462"/>
      <c r="J190" s="462"/>
      <c r="K190" s="462"/>
      <c r="L190" s="462"/>
      <c r="M190" s="462"/>
      <c r="N190" s="462"/>
      <c r="O190" s="462"/>
      <c r="P190" s="462"/>
      <c r="Q190" s="462"/>
      <c r="R190" s="462"/>
    </row>
    <row r="191" spans="2:18" ht="18" customHeight="1">
      <c r="B191" s="687" t="s">
        <v>1656</v>
      </c>
      <c r="C191" s="688"/>
      <c r="D191" s="209">
        <v>585</v>
      </c>
      <c r="E191" s="204">
        <v>585</v>
      </c>
      <c r="F191" s="487">
        <f t="shared" si="0"/>
        <v>0</v>
      </c>
      <c r="G191" s="594"/>
    </row>
    <row r="192" spans="2:18" ht="18" customHeight="1">
      <c r="B192" s="661" t="s">
        <v>322</v>
      </c>
      <c r="C192" s="662"/>
      <c r="D192" s="662"/>
      <c r="E192" s="662"/>
      <c r="F192" s="663"/>
    </row>
    <row r="193" spans="2:9" ht="19.5" customHeight="1">
      <c r="B193" s="687" t="s">
        <v>1913</v>
      </c>
      <c r="C193" s="688"/>
      <c r="D193" s="209">
        <v>18500</v>
      </c>
      <c r="E193" s="204">
        <v>18500</v>
      </c>
      <c r="F193" s="487">
        <f>SUM(E193-D193)</f>
        <v>0</v>
      </c>
      <c r="G193" s="636" t="s">
        <v>1914</v>
      </c>
      <c r="H193" s="449" t="s">
        <v>1657</v>
      </c>
    </row>
    <row r="194" spans="2:9" ht="18" customHeight="1">
      <c r="B194" s="661" t="s">
        <v>455</v>
      </c>
      <c r="C194" s="662"/>
      <c r="D194" s="662"/>
      <c r="E194" s="662"/>
      <c r="F194" s="663"/>
      <c r="H194" s="449" t="s">
        <v>1760</v>
      </c>
    </row>
    <row r="195" spans="2:9" ht="27" customHeight="1">
      <c r="B195" s="653" t="s">
        <v>1915</v>
      </c>
      <c r="C195" s="654"/>
      <c r="D195" s="614">
        <f>+'Site Costs'!D27</f>
        <v>2200</v>
      </c>
      <c r="E195" s="639">
        <v>0</v>
      </c>
      <c r="F195" s="616">
        <f>SUM(E195-D195)</f>
        <v>-2200</v>
      </c>
      <c r="G195" s="636" t="s">
        <v>1914</v>
      </c>
      <c r="H195" s="449" t="s">
        <v>1955</v>
      </c>
    </row>
    <row r="196" spans="2:9" ht="18" customHeight="1">
      <c r="B196" s="661" t="s">
        <v>1004</v>
      </c>
      <c r="C196" s="662"/>
      <c r="D196" s="662"/>
      <c r="E196" s="662"/>
      <c r="F196" s="663"/>
    </row>
    <row r="197" spans="2:9" ht="18" customHeight="1">
      <c r="B197" s="687" t="s">
        <v>1428</v>
      </c>
      <c r="C197" s="688"/>
      <c r="D197" s="209" t="s">
        <v>309</v>
      </c>
      <c r="E197" s="627" t="s">
        <v>309</v>
      </c>
      <c r="F197" s="487">
        <v>0</v>
      </c>
      <c r="G197" s="594"/>
    </row>
    <row r="198" spans="2:9" ht="18" customHeight="1">
      <c r="B198" s="687" t="s">
        <v>1876</v>
      </c>
      <c r="C198" s="688"/>
      <c r="D198" s="209">
        <v>3500</v>
      </c>
      <c r="E198" s="204">
        <v>3500</v>
      </c>
      <c r="F198" s="487">
        <f>SUM(E198-D198)</f>
        <v>0</v>
      </c>
      <c r="G198" s="628" t="s">
        <v>1894</v>
      </c>
    </row>
    <row r="199" spans="2:9" s="613" customFormat="1" ht="27" customHeight="1">
      <c r="B199" s="653" t="s">
        <v>1874</v>
      </c>
      <c r="C199" s="654"/>
      <c r="D199" s="614">
        <f>+J174</f>
        <v>5000</v>
      </c>
      <c r="E199" s="615">
        <v>0</v>
      </c>
      <c r="F199" s="616">
        <f>SUM(E199-D199)</f>
        <v>-5000</v>
      </c>
      <c r="G199" s="628" t="s">
        <v>1894</v>
      </c>
    </row>
    <row r="200" spans="2:9" ht="18" customHeight="1">
      <c r="B200" s="689" t="s">
        <v>460</v>
      </c>
      <c r="C200" s="690"/>
      <c r="D200" s="690"/>
      <c r="E200" s="690"/>
      <c r="F200" s="691"/>
    </row>
    <row r="201" spans="2:9" ht="18" customHeight="1">
      <c r="B201" s="661" t="s">
        <v>332</v>
      </c>
      <c r="C201" s="662"/>
      <c r="D201" s="662"/>
      <c r="E201" s="662"/>
      <c r="F201" s="663"/>
    </row>
    <row r="202" spans="2:9" ht="18" customHeight="1">
      <c r="B202" s="685" t="s">
        <v>1773</v>
      </c>
      <c r="C202" s="686"/>
      <c r="D202" s="651">
        <v>24190</v>
      </c>
      <c r="E202" s="652">
        <v>24190</v>
      </c>
      <c r="F202" s="487">
        <f>SUM(E202-D202)</f>
        <v>0</v>
      </c>
      <c r="H202" s="564" t="s">
        <v>1660</v>
      </c>
      <c r="I202" s="449" t="s">
        <v>1795</v>
      </c>
    </row>
    <row r="203" spans="2:9" s="613" customFormat="1" ht="18" customHeight="1">
      <c r="B203" s="653" t="s">
        <v>1875</v>
      </c>
      <c r="C203" s="664"/>
      <c r="D203" s="614">
        <v>0</v>
      </c>
      <c r="E203" s="615">
        <v>10200</v>
      </c>
      <c r="F203" s="616">
        <f>SUM(E203-D203)</f>
        <v>10200</v>
      </c>
      <c r="G203" s="628" t="s">
        <v>1895</v>
      </c>
      <c r="H203" s="617" t="s">
        <v>1980</v>
      </c>
    </row>
    <row r="204" spans="2:9" ht="18" customHeight="1">
      <c r="B204" s="653" t="s">
        <v>1932</v>
      </c>
      <c r="C204" s="654"/>
      <c r="D204" s="614">
        <v>0</v>
      </c>
      <c r="E204" s="638">
        <v>0</v>
      </c>
      <c r="F204" s="616">
        <f t="shared" ref="F204" si="2">SUM(E204-D204)</f>
        <v>0</v>
      </c>
      <c r="G204" s="636" t="s">
        <v>1914</v>
      </c>
      <c r="H204" s="613" t="s">
        <v>1980</v>
      </c>
    </row>
    <row r="205" spans="2:9" s="613" customFormat="1" ht="18" customHeight="1">
      <c r="B205" s="665" t="s">
        <v>1949</v>
      </c>
      <c r="C205" s="666"/>
      <c r="D205" s="614">
        <v>0</v>
      </c>
      <c r="E205" s="615">
        <v>-2535</v>
      </c>
      <c r="F205" s="616">
        <f>SUM(E205-D205)</f>
        <v>-2535</v>
      </c>
      <c r="G205" s="642" t="s">
        <v>2001</v>
      </c>
      <c r="H205" s="617"/>
    </row>
    <row r="206" spans="2:9" s="613" customFormat="1" ht="18" customHeight="1">
      <c r="B206" s="653" t="s">
        <v>1808</v>
      </c>
      <c r="C206" s="664"/>
      <c r="D206" s="614">
        <v>0</v>
      </c>
      <c r="E206" s="615">
        <v>5830</v>
      </c>
      <c r="F206" s="616">
        <f t="shared" ref="F206:F207" si="3">SUM(E206-D206)</f>
        <v>5830</v>
      </c>
      <c r="G206" s="628" t="s">
        <v>1894</v>
      </c>
      <c r="H206" s="617" t="s">
        <v>1839</v>
      </c>
    </row>
    <row r="207" spans="2:9" s="613" customFormat="1" ht="18" customHeight="1">
      <c r="B207" s="653" t="s">
        <v>1923</v>
      </c>
      <c r="C207" s="664"/>
      <c r="D207" s="614">
        <v>0</v>
      </c>
      <c r="E207" s="638">
        <v>0</v>
      </c>
      <c r="F207" s="616">
        <f t="shared" si="3"/>
        <v>0</v>
      </c>
      <c r="G207" s="636" t="s">
        <v>1914</v>
      </c>
      <c r="H207" s="617" t="s">
        <v>1941</v>
      </c>
    </row>
    <row r="208" spans="2:9" s="613" customFormat="1" ht="18" customHeight="1">
      <c r="B208" s="653" t="s">
        <v>1924</v>
      </c>
      <c r="C208" s="664"/>
      <c r="D208" s="614">
        <v>0</v>
      </c>
      <c r="E208" s="615">
        <v>3300</v>
      </c>
      <c r="F208" s="616">
        <f t="shared" ref="F208" si="4">SUM(E208-D208)</f>
        <v>3300</v>
      </c>
      <c r="G208" s="636" t="s">
        <v>1914</v>
      </c>
      <c r="H208" s="617" t="s">
        <v>1936</v>
      </c>
    </row>
    <row r="209" spans="2:9" ht="18" customHeight="1">
      <c r="B209" s="653" t="s">
        <v>1931</v>
      </c>
      <c r="C209" s="654"/>
      <c r="D209" s="614">
        <v>0</v>
      </c>
      <c r="E209" s="638">
        <v>0</v>
      </c>
      <c r="F209" s="616">
        <f t="shared" ref="F209" si="5">SUM(E209-D209)</f>
        <v>0</v>
      </c>
      <c r="G209" s="636" t="s">
        <v>1914</v>
      </c>
      <c r="H209" s="613" t="s">
        <v>1981</v>
      </c>
    </row>
    <row r="210" spans="2:9" ht="17.45" customHeight="1">
      <c r="B210" s="661" t="s">
        <v>334</v>
      </c>
      <c r="C210" s="662"/>
      <c r="D210" s="662"/>
      <c r="E210" s="662"/>
      <c r="F210" s="663"/>
    </row>
    <row r="211" spans="2:9" ht="18" customHeight="1">
      <c r="B211" s="653" t="s">
        <v>1658</v>
      </c>
      <c r="C211" s="664"/>
      <c r="D211" s="614">
        <v>5710</v>
      </c>
      <c r="E211" s="615">
        <v>6270</v>
      </c>
      <c r="F211" s="616">
        <f>SUM(E211-D211)</f>
        <v>560</v>
      </c>
      <c r="G211" s="636" t="s">
        <v>1914</v>
      </c>
      <c r="H211" s="449" t="s">
        <v>1937</v>
      </c>
    </row>
    <row r="212" spans="2:9" s="462" customFormat="1" ht="27.6" customHeight="1">
      <c r="B212" s="685" t="s">
        <v>1930</v>
      </c>
      <c r="C212" s="686"/>
      <c r="D212" s="209">
        <v>25000</v>
      </c>
      <c r="E212" s="204">
        <v>25000</v>
      </c>
      <c r="F212" s="487">
        <f>SUM(E212-D212)</f>
        <v>0</v>
      </c>
      <c r="G212" s="640" t="s">
        <v>1914</v>
      </c>
    </row>
    <row r="213" spans="2:9" s="462" customFormat="1" ht="18" customHeight="1">
      <c r="B213" s="661" t="s">
        <v>461</v>
      </c>
      <c r="C213" s="662"/>
      <c r="D213" s="662"/>
      <c r="E213" s="662"/>
      <c r="F213" s="663"/>
    </row>
    <row r="214" spans="2:9" ht="18" customHeight="1">
      <c r="B214" s="653" t="s">
        <v>1483</v>
      </c>
      <c r="C214" s="664"/>
      <c r="D214" s="614">
        <v>7055</v>
      </c>
      <c r="E214" s="615">
        <v>8700</v>
      </c>
      <c r="F214" s="616">
        <f>SUM(E214-D214)</f>
        <v>1645</v>
      </c>
      <c r="G214" s="636" t="s">
        <v>1914</v>
      </c>
      <c r="H214" s="449" t="s">
        <v>1950</v>
      </c>
    </row>
    <row r="215" spans="2:9" ht="18" customHeight="1">
      <c r="B215" s="661" t="s">
        <v>462</v>
      </c>
      <c r="C215" s="662"/>
      <c r="D215" s="662"/>
      <c r="E215" s="662"/>
      <c r="F215" s="663"/>
    </row>
    <row r="216" spans="2:9" ht="18" customHeight="1">
      <c r="B216" s="687" t="s">
        <v>1709</v>
      </c>
      <c r="C216" s="688"/>
      <c r="D216" s="209">
        <v>4645</v>
      </c>
      <c r="E216" s="204">
        <v>4645</v>
      </c>
      <c r="F216" s="487">
        <f>SUM(E216-D216)</f>
        <v>0</v>
      </c>
      <c r="G216" s="594"/>
      <c r="H216" s="564" t="s">
        <v>1660</v>
      </c>
      <c r="I216" s="449" t="s">
        <v>1672</v>
      </c>
    </row>
    <row r="217" spans="2:9" ht="18" customHeight="1">
      <c r="B217" s="687" t="s">
        <v>1710</v>
      </c>
      <c r="C217" s="688"/>
      <c r="D217" s="209" t="s">
        <v>1714</v>
      </c>
      <c r="E217" s="629" t="s">
        <v>1873</v>
      </c>
      <c r="F217" s="487">
        <v>0</v>
      </c>
      <c r="G217" s="449" t="s">
        <v>1715</v>
      </c>
    </row>
    <row r="218" spans="2:9" ht="18" customHeight="1">
      <c r="B218" s="687" t="s">
        <v>1775</v>
      </c>
      <c r="C218" s="688"/>
      <c r="D218" s="209">
        <v>-340</v>
      </c>
      <c r="E218" s="204">
        <v>-340</v>
      </c>
      <c r="F218" s="487">
        <f t="shared" ref="F218" si="6">SUM(E218-D218)</f>
        <v>0</v>
      </c>
      <c r="G218" s="594"/>
    </row>
    <row r="219" spans="2:9" s="613" customFormat="1" ht="18" customHeight="1">
      <c r="B219" s="653" t="s">
        <v>1891</v>
      </c>
      <c r="C219" s="654"/>
      <c r="D219" s="614">
        <v>4000</v>
      </c>
      <c r="E219" s="615">
        <v>3070</v>
      </c>
      <c r="F219" s="616">
        <f t="shared" ref="F219" si="7">SUM(E219-D219)</f>
        <v>-930</v>
      </c>
      <c r="G219" s="628" t="s">
        <v>1894</v>
      </c>
    </row>
    <row r="220" spans="2:9" s="613" customFormat="1" ht="18" customHeight="1">
      <c r="B220" s="653" t="s">
        <v>1877</v>
      </c>
      <c r="C220" s="654"/>
      <c r="D220" s="614">
        <v>2900</v>
      </c>
      <c r="E220" s="615">
        <v>4370</v>
      </c>
      <c r="F220" s="616">
        <f t="shared" ref="F220" si="8">SUM(E220-D220)</f>
        <v>1470</v>
      </c>
      <c r="G220" s="628" t="s">
        <v>1894</v>
      </c>
      <c r="H220" s="613" t="s">
        <v>1777</v>
      </c>
    </row>
    <row r="221" spans="2:9" s="613" customFormat="1" ht="18" customHeight="1">
      <c r="B221" s="653" t="s">
        <v>1896</v>
      </c>
      <c r="C221" s="664"/>
      <c r="D221" s="614">
        <v>0</v>
      </c>
      <c r="E221" s="615">
        <v>3685</v>
      </c>
      <c r="F221" s="616">
        <f>SUM(E221-D221)</f>
        <v>3685</v>
      </c>
      <c r="G221" s="628" t="s">
        <v>1894</v>
      </c>
      <c r="H221" s="617"/>
    </row>
    <row r="222" spans="2:9" s="613" customFormat="1" ht="18" customHeight="1">
      <c r="B222" s="659" t="s">
        <v>1849</v>
      </c>
      <c r="C222" s="660"/>
      <c r="D222" s="614">
        <v>1600</v>
      </c>
      <c r="E222" s="615">
        <v>0</v>
      </c>
      <c r="F222" s="616">
        <f t="shared" ref="F222:F230" si="9">SUM(E222-D222)</f>
        <v>-1600</v>
      </c>
      <c r="G222" s="628" t="s">
        <v>1894</v>
      </c>
      <c r="H222" s="613" t="s">
        <v>1797</v>
      </c>
    </row>
    <row r="223" spans="2:9" s="613" customFormat="1" ht="18" customHeight="1">
      <c r="B223" s="659" t="s">
        <v>1810</v>
      </c>
      <c r="C223" s="660"/>
      <c r="D223" s="614">
        <f>220*4+600</f>
        <v>1480</v>
      </c>
      <c r="E223" s="615">
        <v>0</v>
      </c>
      <c r="F223" s="616">
        <f t="shared" si="9"/>
        <v>-1480</v>
      </c>
      <c r="G223" s="628" t="s">
        <v>1894</v>
      </c>
    </row>
    <row r="224" spans="2:9" s="613" customFormat="1" ht="18" customHeight="1">
      <c r="B224" s="659" t="s">
        <v>1809</v>
      </c>
      <c r="C224" s="660"/>
      <c r="D224" s="614">
        <v>555</v>
      </c>
      <c r="E224" s="615">
        <v>0</v>
      </c>
      <c r="F224" s="616">
        <f t="shared" si="9"/>
        <v>-555</v>
      </c>
      <c r="G224" s="628" t="s">
        <v>1894</v>
      </c>
    </row>
    <row r="225" spans="2:8" ht="18" customHeight="1">
      <c r="B225" s="681" t="s">
        <v>1933</v>
      </c>
      <c r="C225" s="682"/>
      <c r="D225" s="614">
        <v>160</v>
      </c>
      <c r="E225" s="615">
        <v>0</v>
      </c>
      <c r="F225" s="616">
        <f t="shared" si="9"/>
        <v>-160</v>
      </c>
      <c r="G225" s="594"/>
      <c r="H225" s="449" t="s">
        <v>1934</v>
      </c>
    </row>
    <row r="226" spans="2:8" ht="18" customHeight="1">
      <c r="B226" s="659" t="s">
        <v>1953</v>
      </c>
      <c r="C226" s="660"/>
      <c r="D226" s="614">
        <v>10000</v>
      </c>
      <c r="E226" s="615">
        <v>0</v>
      </c>
      <c r="F226" s="616">
        <f t="shared" ref="F226" si="10">SUM(E226-D226)</f>
        <v>-10000</v>
      </c>
      <c r="G226" s="645" t="s">
        <v>1951</v>
      </c>
      <c r="H226" s="449" t="s">
        <v>1952</v>
      </c>
    </row>
    <row r="227" spans="2:8" s="613" customFormat="1" ht="18" customHeight="1">
      <c r="B227" s="665" t="s">
        <v>1954</v>
      </c>
      <c r="C227" s="666"/>
      <c r="D227" s="614">
        <v>0</v>
      </c>
      <c r="E227" s="615">
        <v>3645</v>
      </c>
      <c r="F227" s="616">
        <f t="shared" ref="F227" si="11">SUM(E227-D227)</f>
        <v>3645</v>
      </c>
      <c r="G227" s="642" t="s">
        <v>1914</v>
      </c>
      <c r="H227" s="617" t="s">
        <v>1984</v>
      </c>
    </row>
    <row r="228" spans="2:8" ht="18" customHeight="1">
      <c r="B228" s="681" t="s">
        <v>1925</v>
      </c>
      <c r="C228" s="682"/>
      <c r="D228" s="614">
        <v>8000</v>
      </c>
      <c r="E228" s="615">
        <v>0</v>
      </c>
      <c r="F228" s="616">
        <f t="shared" si="9"/>
        <v>-8000</v>
      </c>
      <c r="G228" s="636" t="s">
        <v>1914</v>
      </c>
      <c r="H228" s="449" t="s">
        <v>433</v>
      </c>
    </row>
    <row r="229" spans="2:8" ht="18" customHeight="1">
      <c r="B229" s="655" t="s">
        <v>1796</v>
      </c>
      <c r="C229" s="656"/>
      <c r="D229" s="209">
        <v>255</v>
      </c>
      <c r="E229" s="204">
        <v>255</v>
      </c>
      <c r="F229" s="487">
        <f t="shared" si="9"/>
        <v>0</v>
      </c>
      <c r="G229" s="594"/>
    </row>
    <row r="230" spans="2:8" ht="18" customHeight="1">
      <c r="B230" s="655" t="s">
        <v>1685</v>
      </c>
      <c r="C230" s="656"/>
      <c r="D230" s="209">
        <v>1355</v>
      </c>
      <c r="E230" s="204">
        <v>1355</v>
      </c>
      <c r="F230" s="487">
        <f t="shared" si="9"/>
        <v>0</v>
      </c>
      <c r="G230" s="594"/>
      <c r="H230" s="449" t="s">
        <v>1793</v>
      </c>
    </row>
    <row r="231" spans="2:8" s="613" customFormat="1" ht="18" customHeight="1">
      <c r="B231" s="653" t="s">
        <v>1897</v>
      </c>
      <c r="C231" s="664"/>
      <c r="D231" s="614">
        <v>0</v>
      </c>
      <c r="E231" s="615">
        <v>300</v>
      </c>
      <c r="F231" s="616">
        <f t="shared" ref="F231" si="12">SUM(E231-D231)</f>
        <v>300</v>
      </c>
      <c r="G231" s="628" t="s">
        <v>1894</v>
      </c>
      <c r="H231" s="617" t="s">
        <v>1887</v>
      </c>
    </row>
    <row r="232" spans="2:8" s="613" customFormat="1" ht="27" customHeight="1">
      <c r="B232" s="653" t="s">
        <v>1958</v>
      </c>
      <c r="C232" s="664"/>
      <c r="D232" s="614">
        <v>0</v>
      </c>
      <c r="E232" s="615">
        <v>2550</v>
      </c>
      <c r="F232" s="616">
        <f t="shared" ref="F232:F239" si="13">SUM(E232-D232)</f>
        <v>2550</v>
      </c>
      <c r="G232" s="628" t="s">
        <v>1894</v>
      </c>
      <c r="H232" s="617"/>
    </row>
    <row r="233" spans="2:8" s="613" customFormat="1" ht="18" customHeight="1">
      <c r="B233" s="665" t="s">
        <v>1938</v>
      </c>
      <c r="C233" s="666"/>
      <c r="D233" s="614">
        <v>0</v>
      </c>
      <c r="E233" s="615">
        <v>820</v>
      </c>
      <c r="F233" s="616">
        <f t="shared" si="13"/>
        <v>820</v>
      </c>
      <c r="H233" s="617"/>
    </row>
    <row r="234" spans="2:8" s="613" customFormat="1" ht="18" customHeight="1">
      <c r="B234" s="653" t="s">
        <v>1940</v>
      </c>
      <c r="C234" s="664"/>
      <c r="D234" s="614">
        <v>0</v>
      </c>
      <c r="E234" s="639">
        <v>6500</v>
      </c>
      <c r="F234" s="616">
        <f t="shared" si="13"/>
        <v>6500</v>
      </c>
      <c r="G234" s="628" t="s">
        <v>1895</v>
      </c>
      <c r="H234" s="617" t="s">
        <v>1939</v>
      </c>
    </row>
    <row r="235" spans="2:8" s="613" customFormat="1" ht="18.75" customHeight="1">
      <c r="B235" s="653" t="s">
        <v>1878</v>
      </c>
      <c r="C235" s="664"/>
      <c r="D235" s="614">
        <v>0</v>
      </c>
      <c r="E235" s="631">
        <v>-260</v>
      </c>
      <c r="F235" s="616">
        <f t="shared" si="13"/>
        <v>-260</v>
      </c>
      <c r="G235" s="628" t="s">
        <v>1894</v>
      </c>
      <c r="H235" s="617"/>
    </row>
    <row r="236" spans="2:8" s="613" customFormat="1" ht="18" customHeight="1">
      <c r="B236" s="665" t="s">
        <v>1971</v>
      </c>
      <c r="C236" s="666"/>
      <c r="D236" s="614">
        <v>0</v>
      </c>
      <c r="E236" s="615">
        <v>990</v>
      </c>
      <c r="F236" s="616">
        <f t="shared" si="13"/>
        <v>990</v>
      </c>
      <c r="G236" s="613" t="s">
        <v>1914</v>
      </c>
      <c r="H236" s="617" t="s">
        <v>1660</v>
      </c>
    </row>
    <row r="237" spans="2:8" s="613" customFormat="1" ht="18" customHeight="1">
      <c r="B237" s="665" t="s">
        <v>1970</v>
      </c>
      <c r="C237" s="666"/>
      <c r="D237" s="614">
        <v>0</v>
      </c>
      <c r="E237" s="615">
        <v>9335</v>
      </c>
      <c r="F237" s="616">
        <f t="shared" si="13"/>
        <v>9335</v>
      </c>
      <c r="G237" s="613" t="s">
        <v>1914</v>
      </c>
      <c r="H237" s="617" t="s">
        <v>1660</v>
      </c>
    </row>
    <row r="238" spans="2:8" s="613" customFormat="1" ht="18" customHeight="1">
      <c r="B238" s="653" t="s">
        <v>1982</v>
      </c>
      <c r="C238" s="664"/>
      <c r="D238" s="614">
        <v>0</v>
      </c>
      <c r="E238" s="639">
        <v>50</v>
      </c>
      <c r="F238" s="616">
        <f t="shared" si="13"/>
        <v>50</v>
      </c>
      <c r="G238" s="628" t="s">
        <v>1914</v>
      </c>
      <c r="H238" s="641" t="s">
        <v>433</v>
      </c>
    </row>
    <row r="239" spans="2:8" s="613" customFormat="1" ht="18" customHeight="1">
      <c r="B239" s="653" t="s">
        <v>1917</v>
      </c>
      <c r="C239" s="664"/>
      <c r="D239" s="614">
        <v>0</v>
      </c>
      <c r="E239" s="638"/>
      <c r="F239" s="616">
        <f t="shared" si="13"/>
        <v>0</v>
      </c>
      <c r="G239" s="636" t="s">
        <v>1914</v>
      </c>
      <c r="H239" s="617" t="s">
        <v>1994</v>
      </c>
    </row>
    <row r="240" spans="2:8" s="613" customFormat="1" ht="18" customHeight="1">
      <c r="B240" s="653" t="s">
        <v>1972</v>
      </c>
      <c r="C240" s="664"/>
      <c r="D240" s="614">
        <v>0</v>
      </c>
      <c r="E240" s="615">
        <v>630</v>
      </c>
      <c r="F240" s="616">
        <f t="shared" ref="F240" si="14">SUM(E240-D240)</f>
        <v>630</v>
      </c>
      <c r="G240" s="628" t="s">
        <v>1894</v>
      </c>
      <c r="H240" s="617"/>
    </row>
    <row r="241" spans="2:8" s="613" customFormat="1" ht="18" customHeight="1">
      <c r="B241" s="653" t="s">
        <v>1942</v>
      </c>
      <c r="C241" s="664"/>
      <c r="D241" s="614">
        <v>0</v>
      </c>
      <c r="E241" s="615">
        <v>4245</v>
      </c>
      <c r="F241" s="616">
        <f>SUM(E241-D241)</f>
        <v>4245</v>
      </c>
      <c r="G241" s="636" t="s">
        <v>1914</v>
      </c>
      <c r="H241" s="617" t="s">
        <v>433</v>
      </c>
    </row>
    <row r="242" spans="2:8" s="613" customFormat="1" ht="18" customHeight="1">
      <c r="B242" s="653" t="s">
        <v>1922</v>
      </c>
      <c r="C242" s="664"/>
      <c r="D242" s="614">
        <v>0</v>
      </c>
      <c r="E242" s="638">
        <v>0</v>
      </c>
      <c r="F242" s="616">
        <f t="shared" ref="F242" si="15">SUM(E242-D242)</f>
        <v>0</v>
      </c>
      <c r="G242" s="636" t="s">
        <v>1914</v>
      </c>
      <c r="H242" s="617" t="s">
        <v>1983</v>
      </c>
    </row>
    <row r="243" spans="2:8" s="613" customFormat="1" ht="18" customHeight="1">
      <c r="B243" s="653" t="s">
        <v>1929</v>
      </c>
      <c r="C243" s="664"/>
      <c r="D243" s="614">
        <v>0</v>
      </c>
      <c r="E243" s="615">
        <v>400</v>
      </c>
      <c r="F243" s="616">
        <f>SUM(E243-D243)</f>
        <v>400</v>
      </c>
      <c r="G243" s="636" t="s">
        <v>1914</v>
      </c>
      <c r="H243" s="617"/>
    </row>
    <row r="244" spans="2:8" ht="18" customHeight="1">
      <c r="B244" s="661" t="s">
        <v>1806</v>
      </c>
      <c r="C244" s="662"/>
      <c r="D244" s="662"/>
      <c r="E244" s="662"/>
      <c r="F244" s="663"/>
    </row>
    <row r="245" spans="2:8" s="613" customFormat="1" ht="18" customHeight="1">
      <c r="B245" s="653" t="s">
        <v>1879</v>
      </c>
      <c r="C245" s="664"/>
      <c r="D245" s="614">
        <v>0</v>
      </c>
      <c r="E245" s="615">
        <v>2920</v>
      </c>
      <c r="F245" s="616">
        <f t="shared" ref="F245" si="16">SUM(E245-D245)</f>
        <v>2920</v>
      </c>
      <c r="G245" s="628" t="s">
        <v>1894</v>
      </c>
      <c r="H245" s="617"/>
    </row>
    <row r="246" spans="2:8" s="613" customFormat="1" ht="18" customHeight="1">
      <c r="B246" s="653" t="s">
        <v>1880</v>
      </c>
      <c r="C246" s="664"/>
      <c r="D246" s="614">
        <v>0</v>
      </c>
      <c r="E246" s="615">
        <v>1460</v>
      </c>
      <c r="F246" s="616">
        <f t="shared" ref="F246:F253" si="17">SUM(E246-D246)</f>
        <v>1460</v>
      </c>
      <c r="G246" s="628" t="s">
        <v>1894</v>
      </c>
      <c r="H246" s="617"/>
    </row>
    <row r="247" spans="2:8" s="613" customFormat="1" ht="18" customHeight="1">
      <c r="B247" s="665" t="s">
        <v>1947</v>
      </c>
      <c r="C247" s="666"/>
      <c r="D247" s="643">
        <v>0</v>
      </c>
      <c r="E247" s="639">
        <v>4530</v>
      </c>
      <c r="F247" s="644">
        <f t="shared" si="17"/>
        <v>4530</v>
      </c>
      <c r="G247" s="636" t="s">
        <v>1914</v>
      </c>
      <c r="H247" s="641" t="s">
        <v>1946</v>
      </c>
    </row>
    <row r="248" spans="2:8" s="613" customFormat="1" ht="18" customHeight="1">
      <c r="B248" s="653" t="s">
        <v>1918</v>
      </c>
      <c r="C248" s="664"/>
      <c r="D248" s="614">
        <v>0</v>
      </c>
      <c r="E248" s="638">
        <v>0</v>
      </c>
      <c r="F248" s="616">
        <f t="shared" ref="F248" si="18">SUM(E248-D248)</f>
        <v>0</v>
      </c>
      <c r="G248" s="636" t="s">
        <v>1914</v>
      </c>
      <c r="H248" s="617"/>
    </row>
    <row r="249" spans="2:8" s="613" customFormat="1" ht="18" customHeight="1">
      <c r="B249" s="653" t="s">
        <v>1840</v>
      </c>
      <c r="C249" s="664"/>
      <c r="D249" s="614">
        <v>0</v>
      </c>
      <c r="E249" s="615">
        <v>60</v>
      </c>
      <c r="F249" s="616">
        <f t="shared" si="17"/>
        <v>60</v>
      </c>
      <c r="G249" s="628" t="s">
        <v>1894</v>
      </c>
      <c r="H249" s="617"/>
    </row>
    <row r="250" spans="2:8" s="613" customFormat="1" ht="18" customHeight="1">
      <c r="B250" s="653" t="s">
        <v>1807</v>
      </c>
      <c r="C250" s="664"/>
      <c r="D250" s="614">
        <v>0</v>
      </c>
      <c r="E250" s="615">
        <v>840</v>
      </c>
      <c r="F250" s="616">
        <f t="shared" si="17"/>
        <v>840</v>
      </c>
      <c r="G250" s="628" t="s">
        <v>1894</v>
      </c>
      <c r="H250" s="617" t="s">
        <v>1899</v>
      </c>
    </row>
    <row r="251" spans="2:8" s="613" customFormat="1" ht="18" customHeight="1">
      <c r="B251" s="653" t="s">
        <v>1900</v>
      </c>
      <c r="C251" s="664"/>
      <c r="D251" s="614">
        <v>0</v>
      </c>
      <c r="E251" s="615">
        <v>300</v>
      </c>
      <c r="F251" s="616">
        <f t="shared" si="17"/>
        <v>300</v>
      </c>
      <c r="G251" s="628" t="s">
        <v>1894</v>
      </c>
      <c r="H251" s="617"/>
    </row>
    <row r="252" spans="2:8" s="613" customFormat="1" ht="18" customHeight="1">
      <c r="B252" s="653" t="s">
        <v>1881</v>
      </c>
      <c r="C252" s="664"/>
      <c r="D252" s="614">
        <v>0</v>
      </c>
      <c r="E252" s="615">
        <v>480</v>
      </c>
      <c r="F252" s="616">
        <f t="shared" si="17"/>
        <v>480</v>
      </c>
      <c r="G252" s="628" t="s">
        <v>1894</v>
      </c>
      <c r="H252" s="617"/>
    </row>
    <row r="253" spans="2:8" s="613" customFormat="1" ht="18" customHeight="1">
      <c r="B253" s="683" t="s">
        <v>1882</v>
      </c>
      <c r="C253" s="684"/>
      <c r="D253" s="614">
        <v>0</v>
      </c>
      <c r="E253" s="638"/>
      <c r="F253" s="616">
        <f t="shared" si="17"/>
        <v>0</v>
      </c>
      <c r="H253" s="617" t="s">
        <v>1985</v>
      </c>
    </row>
    <row r="254" spans="2:8" ht="18" customHeight="1">
      <c r="B254" s="661" t="s">
        <v>352</v>
      </c>
      <c r="C254" s="662"/>
      <c r="D254" s="662"/>
      <c r="E254" s="662"/>
      <c r="F254" s="663"/>
    </row>
    <row r="255" spans="2:8" ht="18" customHeight="1">
      <c r="B255" s="655" t="s">
        <v>1707</v>
      </c>
      <c r="C255" s="656"/>
      <c r="D255" s="209">
        <v>7760</v>
      </c>
      <c r="E255" s="204">
        <v>7760</v>
      </c>
      <c r="F255" s="487">
        <f>SUM(E255-D255)</f>
        <v>0</v>
      </c>
      <c r="G255" s="594"/>
      <c r="H255" s="564" t="s">
        <v>1660</v>
      </c>
    </row>
    <row r="256" spans="2:8" ht="18" customHeight="1">
      <c r="B256" s="655" t="s">
        <v>1671</v>
      </c>
      <c r="C256" s="656"/>
      <c r="D256" s="209">
        <v>1045</v>
      </c>
      <c r="E256" s="204">
        <v>1045</v>
      </c>
      <c r="F256" s="487">
        <f>SUM(E256-D256)</f>
        <v>0</v>
      </c>
      <c r="G256" s="594"/>
    </row>
    <row r="257" spans="2:8" ht="18" customHeight="1">
      <c r="B257" s="655" t="s">
        <v>1799</v>
      </c>
      <c r="C257" s="656"/>
      <c r="D257" s="209">
        <v>-600</v>
      </c>
      <c r="E257" s="204">
        <v>-600</v>
      </c>
      <c r="F257" s="487">
        <f>SUM(E257-D257)</f>
        <v>0</v>
      </c>
      <c r="G257" s="594"/>
      <c r="H257" s="449" t="s">
        <v>1792</v>
      </c>
    </row>
    <row r="258" spans="2:8" ht="18" customHeight="1">
      <c r="B258" s="661" t="s">
        <v>366</v>
      </c>
      <c r="C258" s="662"/>
      <c r="D258" s="662"/>
      <c r="E258" s="662"/>
      <c r="F258" s="663"/>
    </row>
    <row r="259" spans="2:8" ht="18" customHeight="1">
      <c r="B259" s="655" t="s">
        <v>1764</v>
      </c>
      <c r="C259" s="656"/>
      <c r="D259" s="209">
        <v>-1520</v>
      </c>
      <c r="E259" s="204">
        <v>-1520</v>
      </c>
      <c r="F259" s="487">
        <f t="shared" ref="F259:F270" si="19">SUM(E259-D259)</f>
        <v>0</v>
      </c>
      <c r="G259" s="594"/>
    </row>
    <row r="260" spans="2:8" ht="18" customHeight="1">
      <c r="B260" s="655" t="s">
        <v>1779</v>
      </c>
      <c r="C260" s="656"/>
      <c r="D260" s="209">
        <v>990</v>
      </c>
      <c r="E260" s="204">
        <v>990</v>
      </c>
      <c r="F260" s="487">
        <f t="shared" ref="F260" si="20">SUM(E260-D260)</f>
        <v>0</v>
      </c>
      <c r="G260" s="594"/>
    </row>
    <row r="261" spans="2:8" ht="18" customHeight="1">
      <c r="B261" s="655" t="s">
        <v>468</v>
      </c>
      <c r="C261" s="656"/>
      <c r="D261" s="209">
        <v>250</v>
      </c>
      <c r="E261" s="204">
        <v>250</v>
      </c>
      <c r="F261" s="487">
        <f t="shared" ref="F261" si="21">SUM(E261-D261)</f>
        <v>0</v>
      </c>
      <c r="G261" s="594"/>
    </row>
    <row r="262" spans="2:8" ht="18" customHeight="1">
      <c r="B262" s="655" t="s">
        <v>500</v>
      </c>
      <c r="C262" s="656"/>
      <c r="D262" s="209">
        <v>960</v>
      </c>
      <c r="E262" s="204">
        <v>960</v>
      </c>
      <c r="F262" s="487">
        <f t="shared" ref="F262" si="22">SUM(E262-D262)</f>
        <v>0</v>
      </c>
      <c r="G262" s="594"/>
    </row>
    <row r="263" spans="2:8" ht="18" customHeight="1">
      <c r="B263" s="655" t="s">
        <v>1708</v>
      </c>
      <c r="C263" s="656"/>
      <c r="D263" s="209">
        <v>270</v>
      </c>
      <c r="E263" s="204">
        <v>270</v>
      </c>
      <c r="F263" s="487">
        <f t="shared" si="19"/>
        <v>0</v>
      </c>
      <c r="G263" s="594"/>
      <c r="H263" s="449" t="s">
        <v>1677</v>
      </c>
    </row>
    <row r="264" spans="2:8" ht="18" customHeight="1">
      <c r="B264" s="655" t="s">
        <v>1716</v>
      </c>
      <c r="C264" s="656"/>
      <c r="D264" s="209">
        <v>5060</v>
      </c>
      <c r="E264" s="204">
        <v>5060</v>
      </c>
      <c r="F264" s="487">
        <f t="shared" si="19"/>
        <v>0</v>
      </c>
      <c r="G264" s="594"/>
      <c r="H264" s="449" t="s">
        <v>1678</v>
      </c>
    </row>
    <row r="265" spans="2:8" ht="18" customHeight="1">
      <c r="B265" s="655" t="s">
        <v>1679</v>
      </c>
      <c r="C265" s="656"/>
      <c r="D265" s="209">
        <v>1720</v>
      </c>
      <c r="E265" s="204">
        <v>1720</v>
      </c>
      <c r="F265" s="487">
        <f t="shared" si="19"/>
        <v>0</v>
      </c>
      <c r="G265" s="594"/>
    </row>
    <row r="266" spans="2:8" ht="18" customHeight="1">
      <c r="B266" s="657" t="s">
        <v>1871</v>
      </c>
      <c r="C266" s="658"/>
      <c r="D266" s="623">
        <v>2500</v>
      </c>
      <c r="E266" s="624">
        <v>2500</v>
      </c>
      <c r="F266" s="625">
        <f t="shared" si="19"/>
        <v>0</v>
      </c>
      <c r="G266" s="594"/>
    </row>
    <row r="267" spans="2:8" ht="18" customHeight="1">
      <c r="B267" s="655" t="s">
        <v>1910</v>
      </c>
      <c r="C267" s="656"/>
      <c r="D267" s="209">
        <v>550</v>
      </c>
      <c r="E267" s="204">
        <v>550</v>
      </c>
      <c r="F267" s="487">
        <f t="shared" si="19"/>
        <v>0</v>
      </c>
      <c r="G267" s="594"/>
    </row>
    <row r="268" spans="2:8" s="613" customFormat="1" ht="18" customHeight="1">
      <c r="B268" s="659" t="s">
        <v>1814</v>
      </c>
      <c r="C268" s="660"/>
      <c r="D268" s="614">
        <v>4500</v>
      </c>
      <c r="E268" s="615">
        <v>0</v>
      </c>
      <c r="F268" s="616">
        <f t="shared" si="19"/>
        <v>-4500</v>
      </c>
      <c r="G268" s="628" t="s">
        <v>1894</v>
      </c>
      <c r="H268" s="619" t="s">
        <v>1690</v>
      </c>
    </row>
    <row r="269" spans="2:8" ht="27" customHeight="1">
      <c r="B269" s="655" t="s">
        <v>1761</v>
      </c>
      <c r="C269" s="656"/>
      <c r="D269" s="209">
        <v>-1880</v>
      </c>
      <c r="E269" s="204">
        <v>-1880</v>
      </c>
      <c r="F269" s="487">
        <f t="shared" si="19"/>
        <v>0</v>
      </c>
      <c r="G269" s="594"/>
    </row>
    <row r="270" spans="2:8" ht="18" customHeight="1">
      <c r="B270" s="655" t="s">
        <v>1762</v>
      </c>
      <c r="C270" s="656"/>
      <c r="D270" s="209">
        <v>650</v>
      </c>
      <c r="E270" s="204">
        <v>650</v>
      </c>
      <c r="F270" s="487">
        <f t="shared" si="19"/>
        <v>0</v>
      </c>
      <c r="G270" s="594"/>
    </row>
    <row r="271" spans="2:8" ht="18" customHeight="1">
      <c r="B271" s="655" t="s">
        <v>1763</v>
      </c>
      <c r="C271" s="656"/>
      <c r="D271" s="209">
        <v>650</v>
      </c>
      <c r="E271" s="204">
        <v>650</v>
      </c>
      <c r="F271" s="487">
        <f t="shared" ref="F271" si="23">SUM(E271-D271)</f>
        <v>0</v>
      </c>
      <c r="G271" s="594"/>
    </row>
    <row r="272" spans="2:8" ht="28.15" customHeight="1">
      <c r="B272" s="687" t="s">
        <v>1801</v>
      </c>
      <c r="C272" s="688"/>
      <c r="D272" s="209" t="s">
        <v>1714</v>
      </c>
      <c r="E272" s="204" t="s">
        <v>1873</v>
      </c>
      <c r="F272" s="487">
        <v>0</v>
      </c>
      <c r="G272" s="594"/>
      <c r="H272" s="449" t="s">
        <v>1780</v>
      </c>
    </row>
    <row r="273" spans="2:8" ht="18" customHeight="1">
      <c r="B273" s="655" t="s">
        <v>1766</v>
      </c>
      <c r="C273" s="656"/>
      <c r="D273" s="209">
        <v>1660</v>
      </c>
      <c r="E273" s="204">
        <v>1660</v>
      </c>
      <c r="F273" s="487">
        <f t="shared" ref="F273:F279" si="24">SUM(E273-D273)</f>
        <v>0</v>
      </c>
      <c r="G273" s="594"/>
    </row>
    <row r="274" spans="2:8" s="613" customFormat="1" ht="18" customHeight="1">
      <c r="B274" s="653" t="s">
        <v>1898</v>
      </c>
      <c r="C274" s="664"/>
      <c r="D274" s="614">
        <v>0</v>
      </c>
      <c r="E274" s="630" t="s">
        <v>1873</v>
      </c>
      <c r="F274" s="616">
        <v>0</v>
      </c>
      <c r="G274" s="628" t="s">
        <v>1894</v>
      </c>
      <c r="H274" s="617"/>
    </row>
    <row r="275" spans="2:8" s="613" customFormat="1" ht="18" customHeight="1">
      <c r="B275" s="653" t="s">
        <v>1811</v>
      </c>
      <c r="C275" s="664"/>
      <c r="D275" s="614">
        <v>0</v>
      </c>
      <c r="E275" s="639">
        <v>4860</v>
      </c>
      <c r="F275" s="616">
        <f t="shared" si="24"/>
        <v>4860</v>
      </c>
      <c r="H275" s="617"/>
    </row>
    <row r="276" spans="2:8" s="613" customFormat="1" ht="18" customHeight="1">
      <c r="B276" s="653" t="s">
        <v>1812</v>
      </c>
      <c r="C276" s="664"/>
      <c r="D276" s="614">
        <v>0</v>
      </c>
      <c r="E276" s="615">
        <v>130</v>
      </c>
      <c r="F276" s="616">
        <f t="shared" si="24"/>
        <v>130</v>
      </c>
      <c r="G276" s="628" t="s">
        <v>1894</v>
      </c>
      <c r="H276" s="617" t="s">
        <v>1846</v>
      </c>
    </row>
    <row r="277" spans="2:8" s="613" customFormat="1" ht="18" customHeight="1">
      <c r="B277" s="653" t="s">
        <v>1815</v>
      </c>
      <c r="C277" s="664"/>
      <c r="D277" s="614">
        <v>0</v>
      </c>
      <c r="E277" s="615">
        <v>330</v>
      </c>
      <c r="F277" s="616">
        <f t="shared" si="24"/>
        <v>330</v>
      </c>
      <c r="G277" s="628" t="s">
        <v>1894</v>
      </c>
      <c r="H277" s="617"/>
    </row>
    <row r="278" spans="2:8" s="613" customFormat="1" ht="18" customHeight="1">
      <c r="B278" s="653" t="s">
        <v>1816</v>
      </c>
      <c r="C278" s="664"/>
      <c r="D278" s="614">
        <v>0</v>
      </c>
      <c r="E278" s="615">
        <v>200</v>
      </c>
      <c r="F278" s="616">
        <f t="shared" ref="F278" si="25">SUM(E278-D278)</f>
        <v>200</v>
      </c>
      <c r="G278" s="628" t="s">
        <v>1894</v>
      </c>
      <c r="H278" s="617"/>
    </row>
    <row r="279" spans="2:8" s="613" customFormat="1" ht="18" customHeight="1">
      <c r="B279" s="653" t="s">
        <v>1943</v>
      </c>
      <c r="C279" s="664"/>
      <c r="D279" s="614">
        <v>0</v>
      </c>
      <c r="E279" s="615">
        <v>545</v>
      </c>
      <c r="F279" s="616">
        <f t="shared" si="24"/>
        <v>545</v>
      </c>
      <c r="G279" s="642" t="s">
        <v>1914</v>
      </c>
      <c r="H279" s="641" t="s">
        <v>433</v>
      </c>
    </row>
    <row r="280" spans="2:8" ht="18" customHeight="1">
      <c r="B280" s="661" t="s">
        <v>1676</v>
      </c>
      <c r="C280" s="662"/>
      <c r="D280" s="662"/>
      <c r="E280" s="662"/>
      <c r="F280" s="663"/>
    </row>
    <row r="281" spans="2:8" ht="18" customHeight="1">
      <c r="B281" s="655" t="s">
        <v>1776</v>
      </c>
      <c r="C281" s="656"/>
      <c r="D281" s="209">
        <v>90</v>
      </c>
      <c r="E281" s="204">
        <v>90</v>
      </c>
      <c r="F281" s="487">
        <f t="shared" ref="F281:F288" si="26">SUM(E281-D281)</f>
        <v>0</v>
      </c>
      <c r="G281" s="594"/>
    </row>
    <row r="282" spans="2:8" ht="18" customHeight="1">
      <c r="B282" s="655" t="s">
        <v>1800</v>
      </c>
      <c r="C282" s="656"/>
      <c r="D282" s="209">
        <v>350</v>
      </c>
      <c r="E282" s="204">
        <v>350</v>
      </c>
      <c r="F282" s="487">
        <f t="shared" si="26"/>
        <v>0</v>
      </c>
      <c r="G282" s="594"/>
    </row>
    <row r="283" spans="2:8" ht="18" customHeight="1">
      <c r="B283" s="655" t="s">
        <v>1765</v>
      </c>
      <c r="C283" s="656"/>
      <c r="D283" s="209">
        <v>3055</v>
      </c>
      <c r="E283" s="204">
        <v>3055</v>
      </c>
      <c r="F283" s="487">
        <f t="shared" si="26"/>
        <v>0</v>
      </c>
      <c r="G283" s="594"/>
    </row>
    <row r="284" spans="2:8" s="613" customFormat="1" ht="18" customHeight="1">
      <c r="B284" s="659" t="s">
        <v>1817</v>
      </c>
      <c r="C284" s="660"/>
      <c r="D284" s="614">
        <v>1430</v>
      </c>
      <c r="E284" s="615">
        <v>0</v>
      </c>
      <c r="F284" s="616">
        <f t="shared" si="26"/>
        <v>-1430</v>
      </c>
      <c r="G284" s="628" t="s">
        <v>1894</v>
      </c>
      <c r="H284" s="613" t="s">
        <v>1680</v>
      </c>
    </row>
    <row r="285" spans="2:8" ht="18" customHeight="1">
      <c r="B285" s="655" t="s">
        <v>1196</v>
      </c>
      <c r="C285" s="656"/>
      <c r="D285" s="209">
        <v>1725</v>
      </c>
      <c r="E285" s="204">
        <v>1725</v>
      </c>
      <c r="F285" s="487">
        <f t="shared" si="26"/>
        <v>0</v>
      </c>
      <c r="G285" s="594"/>
    </row>
    <row r="286" spans="2:8" s="613" customFormat="1" ht="18" customHeight="1">
      <c r="B286" s="653" t="s">
        <v>1911</v>
      </c>
      <c r="C286" s="664"/>
      <c r="D286" s="614">
        <v>0</v>
      </c>
      <c r="E286" s="615">
        <v>80</v>
      </c>
      <c r="F286" s="616">
        <f>SUM(E286-D286)</f>
        <v>80</v>
      </c>
      <c r="G286" s="628" t="s">
        <v>1894</v>
      </c>
      <c r="H286" s="617" t="s">
        <v>1847</v>
      </c>
    </row>
    <row r="287" spans="2:8" ht="18" customHeight="1">
      <c r="B287" s="655" t="s">
        <v>1771</v>
      </c>
      <c r="C287" s="656"/>
      <c r="D287" s="209">
        <f>220+180</f>
        <v>400</v>
      </c>
      <c r="E287" s="204">
        <v>400</v>
      </c>
      <c r="F287" s="487">
        <f t="shared" si="26"/>
        <v>0</v>
      </c>
      <c r="G287" s="594"/>
      <c r="H287" s="449" t="s">
        <v>1681</v>
      </c>
    </row>
    <row r="288" spans="2:8" ht="18" customHeight="1">
      <c r="B288" s="655" t="s">
        <v>468</v>
      </c>
      <c r="C288" s="656"/>
      <c r="D288" s="209">
        <v>250</v>
      </c>
      <c r="E288" s="204">
        <v>250</v>
      </c>
      <c r="F288" s="487">
        <f t="shared" si="26"/>
        <v>0</v>
      </c>
      <c r="G288" s="594"/>
    </row>
    <row r="289" spans="2:8" s="613" customFormat="1" ht="17.25" customHeight="1">
      <c r="B289" s="653" t="s">
        <v>1884</v>
      </c>
      <c r="C289" s="664"/>
      <c r="D289" s="614">
        <v>0</v>
      </c>
      <c r="E289" s="615">
        <v>870</v>
      </c>
      <c r="F289" s="616">
        <f>SUM(E289-D289)</f>
        <v>870</v>
      </c>
      <c r="G289" s="628" t="s">
        <v>1894</v>
      </c>
      <c r="H289" s="617"/>
    </row>
    <row r="290" spans="2:8" s="613" customFormat="1" ht="18" customHeight="1">
      <c r="B290" s="653" t="s">
        <v>1841</v>
      </c>
      <c r="C290" s="664"/>
      <c r="D290" s="614">
        <v>0</v>
      </c>
      <c r="E290" s="615">
        <v>660</v>
      </c>
      <c r="F290" s="616">
        <f t="shared" ref="F290" si="27">SUM(E290-D290)</f>
        <v>660</v>
      </c>
      <c r="G290" s="628" t="s">
        <v>1894</v>
      </c>
      <c r="H290" s="617"/>
    </row>
    <row r="291" spans="2:8" s="613" customFormat="1" ht="18" customHeight="1">
      <c r="B291" s="653" t="s">
        <v>1883</v>
      </c>
      <c r="C291" s="664"/>
      <c r="D291" s="614">
        <v>0</v>
      </c>
      <c r="E291" s="615">
        <v>1800</v>
      </c>
      <c r="F291" s="616">
        <f t="shared" ref="F291:F294" si="28">SUM(E291-D291)</f>
        <v>1800</v>
      </c>
      <c r="G291" s="628" t="s">
        <v>1894</v>
      </c>
      <c r="H291" s="617"/>
    </row>
    <row r="292" spans="2:8" s="613" customFormat="1" ht="18" customHeight="1">
      <c r="B292" s="653" t="s">
        <v>1907</v>
      </c>
      <c r="C292" s="664"/>
      <c r="D292" s="614">
        <v>0</v>
      </c>
      <c r="E292" s="615">
        <v>490</v>
      </c>
      <c r="F292" s="616">
        <f>SUM(E292-D292)</f>
        <v>490</v>
      </c>
      <c r="G292" s="628" t="s">
        <v>1894</v>
      </c>
      <c r="H292" s="617"/>
    </row>
    <row r="293" spans="2:8" s="613" customFormat="1" ht="18" customHeight="1">
      <c r="B293" s="653" t="s">
        <v>1906</v>
      </c>
      <c r="C293" s="664"/>
      <c r="D293" s="614">
        <v>0</v>
      </c>
      <c r="E293" s="615">
        <v>3595</v>
      </c>
      <c r="F293" s="616">
        <f>SUM(E293-D293)</f>
        <v>3595</v>
      </c>
      <c r="G293" s="628" t="s">
        <v>1894</v>
      </c>
      <c r="H293" s="617"/>
    </row>
    <row r="294" spans="2:8" s="613" customFormat="1" ht="18" customHeight="1">
      <c r="B294" s="653" t="s">
        <v>1813</v>
      </c>
      <c r="C294" s="664"/>
      <c r="D294" s="614">
        <v>0</v>
      </c>
      <c r="E294" s="615">
        <v>3530</v>
      </c>
      <c r="F294" s="616">
        <f t="shared" si="28"/>
        <v>3530</v>
      </c>
      <c r="G294" s="628" t="s">
        <v>1894</v>
      </c>
      <c r="H294" s="617"/>
    </row>
    <row r="295" spans="2:8" ht="18" customHeight="1">
      <c r="B295" s="661" t="s">
        <v>463</v>
      </c>
      <c r="C295" s="662"/>
      <c r="D295" s="662"/>
      <c r="E295" s="662"/>
      <c r="F295" s="663"/>
    </row>
    <row r="296" spans="2:8" ht="18" customHeight="1">
      <c r="B296" s="655" t="s">
        <v>1767</v>
      </c>
      <c r="C296" s="656"/>
      <c r="D296" s="209">
        <v>1355</v>
      </c>
      <c r="E296" s="204">
        <v>1355</v>
      </c>
      <c r="F296" s="487">
        <f t="shared" ref="F296:F305" si="29">SUM(E296-D296)</f>
        <v>0</v>
      </c>
      <c r="G296" s="594"/>
    </row>
    <row r="297" spans="2:8" s="613" customFormat="1" ht="18" customHeight="1">
      <c r="B297" s="659" t="s">
        <v>1974</v>
      </c>
      <c r="C297" s="660"/>
      <c r="D297" s="614">
        <v>900</v>
      </c>
      <c r="E297" s="615">
        <v>1170</v>
      </c>
      <c r="F297" s="616">
        <f t="shared" si="29"/>
        <v>270</v>
      </c>
      <c r="G297" s="628" t="s">
        <v>1894</v>
      </c>
      <c r="H297" s="613" t="s">
        <v>1682</v>
      </c>
    </row>
    <row r="298" spans="2:8" ht="18" customHeight="1">
      <c r="B298" s="655" t="s">
        <v>1465</v>
      </c>
      <c r="C298" s="656"/>
      <c r="D298" s="209">
        <v>300</v>
      </c>
      <c r="E298" s="204">
        <v>300</v>
      </c>
      <c r="F298" s="487">
        <f t="shared" si="29"/>
        <v>0</v>
      </c>
      <c r="G298" s="594"/>
    </row>
    <row r="299" spans="2:8" ht="18" customHeight="1">
      <c r="B299" s="655" t="s">
        <v>1717</v>
      </c>
      <c r="C299" s="656"/>
      <c r="D299" s="209" t="s">
        <v>1714</v>
      </c>
      <c r="E299" s="629" t="s">
        <v>1873</v>
      </c>
      <c r="F299" s="487">
        <v>0</v>
      </c>
      <c r="G299" s="594"/>
    </row>
    <row r="300" spans="2:8" ht="18" customHeight="1">
      <c r="B300" s="655" t="s">
        <v>471</v>
      </c>
      <c r="C300" s="656"/>
      <c r="D300" s="209">
        <v>250</v>
      </c>
      <c r="E300" s="204">
        <v>250</v>
      </c>
      <c r="F300" s="487">
        <f t="shared" si="29"/>
        <v>0</v>
      </c>
      <c r="G300" s="594"/>
    </row>
    <row r="301" spans="2:8" ht="18" customHeight="1">
      <c r="B301" s="655" t="s">
        <v>1683</v>
      </c>
      <c r="C301" s="656"/>
      <c r="D301" s="209">
        <v>400</v>
      </c>
      <c r="E301" s="204">
        <v>400</v>
      </c>
      <c r="F301" s="487">
        <f t="shared" si="29"/>
        <v>0</v>
      </c>
      <c r="G301" s="594"/>
    </row>
    <row r="302" spans="2:8" ht="18" customHeight="1">
      <c r="B302" s="655" t="s">
        <v>1768</v>
      </c>
      <c r="C302" s="656"/>
      <c r="D302" s="209">
        <v>200</v>
      </c>
      <c r="E302" s="204">
        <v>200</v>
      </c>
      <c r="F302" s="487">
        <f t="shared" si="29"/>
        <v>0</v>
      </c>
      <c r="G302" s="594"/>
    </row>
    <row r="303" spans="2:8" ht="18" customHeight="1">
      <c r="B303" s="655" t="s">
        <v>1905</v>
      </c>
      <c r="C303" s="656"/>
      <c r="D303" s="209">
        <v>3000</v>
      </c>
      <c r="E303" s="204">
        <v>3000</v>
      </c>
      <c r="F303" s="487">
        <f t="shared" si="29"/>
        <v>0</v>
      </c>
      <c r="G303" s="594"/>
    </row>
    <row r="304" spans="2:8" ht="18" customHeight="1">
      <c r="B304" s="655" t="s">
        <v>1772</v>
      </c>
      <c r="C304" s="656"/>
      <c r="D304" s="209">
        <v>450</v>
      </c>
      <c r="E304" s="204">
        <v>450</v>
      </c>
      <c r="F304" s="487">
        <f t="shared" si="29"/>
        <v>0</v>
      </c>
      <c r="G304" s="594"/>
    </row>
    <row r="305" spans="2:15" s="462" customFormat="1" ht="18" customHeight="1">
      <c r="B305" s="655" t="s">
        <v>1798</v>
      </c>
      <c r="C305" s="656"/>
      <c r="D305" s="209">
        <v>4280</v>
      </c>
      <c r="E305" s="204">
        <v>4280</v>
      </c>
      <c r="F305" s="487">
        <f t="shared" si="29"/>
        <v>0</v>
      </c>
      <c r="G305" s="556">
        <f>2.6*(4.1+4.1+1.8+1.8+1.9+1.9+1+1)-(2*(1.8+0.9+0.9))</f>
        <v>38.56</v>
      </c>
      <c r="H305" s="462">
        <v>103</v>
      </c>
      <c r="I305" s="462">
        <f>G305*H305</f>
        <v>3971.6800000000003</v>
      </c>
      <c r="J305" s="556">
        <f>(4.1+4.1+1.8+1.8)</f>
        <v>11.8</v>
      </c>
      <c r="K305" s="462">
        <v>25</v>
      </c>
      <c r="L305" s="462">
        <f>J305*K305</f>
        <v>295</v>
      </c>
      <c r="M305" s="462">
        <f>I305+L305</f>
        <v>4266.68</v>
      </c>
      <c r="O305" s="462" t="s">
        <v>1786</v>
      </c>
    </row>
    <row r="306" spans="2:15" ht="18" customHeight="1">
      <c r="B306" s="655" t="s">
        <v>1787</v>
      </c>
      <c r="C306" s="656"/>
      <c r="D306" s="209">
        <v>400</v>
      </c>
      <c r="E306" s="204">
        <v>400</v>
      </c>
      <c r="F306" s="487">
        <f t="shared" ref="F306" si="30">SUM(E306-D306)</f>
        <v>0</v>
      </c>
      <c r="G306" s="594"/>
      <c r="H306" s="449" t="s">
        <v>1791</v>
      </c>
    </row>
    <row r="307" spans="2:15" s="613" customFormat="1" ht="18" customHeight="1">
      <c r="B307" s="653" t="s">
        <v>1811</v>
      </c>
      <c r="C307" s="664"/>
      <c r="D307" s="614">
        <v>0</v>
      </c>
      <c r="E307" s="615">
        <v>470</v>
      </c>
      <c r="F307" s="616">
        <f t="shared" ref="F307:F313" si="31">SUM(E307-D307)</f>
        <v>470</v>
      </c>
      <c r="G307" s="628" t="s">
        <v>1894</v>
      </c>
      <c r="H307" s="617"/>
    </row>
    <row r="308" spans="2:15" s="613" customFormat="1" ht="18" customHeight="1">
      <c r="B308" s="653" t="s">
        <v>1818</v>
      </c>
      <c r="C308" s="664"/>
      <c r="D308" s="614">
        <v>0</v>
      </c>
      <c r="E308" s="615">
        <v>120</v>
      </c>
      <c r="F308" s="616">
        <f t="shared" si="31"/>
        <v>120</v>
      </c>
      <c r="G308" s="628" t="s">
        <v>1894</v>
      </c>
      <c r="H308" s="617"/>
    </row>
    <row r="309" spans="2:15" s="613" customFormat="1" ht="18" customHeight="1">
      <c r="B309" s="653" t="s">
        <v>1820</v>
      </c>
      <c r="C309" s="664"/>
      <c r="D309" s="614">
        <v>0</v>
      </c>
      <c r="E309" s="615">
        <v>3120</v>
      </c>
      <c r="F309" s="616">
        <f t="shared" si="31"/>
        <v>3120</v>
      </c>
      <c r="G309" s="628" t="s">
        <v>1894</v>
      </c>
      <c r="H309" s="617" t="s">
        <v>1848</v>
      </c>
    </row>
    <row r="310" spans="2:15" s="613" customFormat="1" ht="18" customHeight="1">
      <c r="B310" s="653" t="s">
        <v>1821</v>
      </c>
      <c r="C310" s="664"/>
      <c r="D310" s="614">
        <v>0</v>
      </c>
      <c r="E310" s="615">
        <v>120</v>
      </c>
      <c r="F310" s="616">
        <f t="shared" si="31"/>
        <v>120</v>
      </c>
      <c r="G310" s="628" t="s">
        <v>1894</v>
      </c>
      <c r="H310" s="617"/>
    </row>
    <row r="311" spans="2:15" s="613" customFormat="1" ht="18" customHeight="1">
      <c r="B311" s="653" t="s">
        <v>1822</v>
      </c>
      <c r="C311" s="664"/>
      <c r="D311" s="614">
        <v>0</v>
      </c>
      <c r="E311" s="615">
        <v>330</v>
      </c>
      <c r="F311" s="616">
        <f t="shared" si="31"/>
        <v>330</v>
      </c>
      <c r="G311" s="628" t="s">
        <v>1894</v>
      </c>
      <c r="H311" s="617"/>
    </row>
    <row r="312" spans="2:15" s="613" customFormat="1" ht="18" customHeight="1">
      <c r="B312" s="653" t="s">
        <v>1904</v>
      </c>
      <c r="C312" s="664"/>
      <c r="D312" s="614">
        <v>0</v>
      </c>
      <c r="E312" s="615">
        <v>1020</v>
      </c>
      <c r="F312" s="616">
        <f t="shared" si="31"/>
        <v>1020</v>
      </c>
      <c r="G312" s="628" t="s">
        <v>1894</v>
      </c>
      <c r="H312" s="617" t="s">
        <v>1851</v>
      </c>
    </row>
    <row r="313" spans="2:15" s="613" customFormat="1" ht="18" customHeight="1">
      <c r="B313" s="653" t="s">
        <v>1819</v>
      </c>
      <c r="C313" s="664"/>
      <c r="D313" s="614">
        <v>0</v>
      </c>
      <c r="E313" s="615">
        <v>580</v>
      </c>
      <c r="F313" s="616">
        <f t="shared" si="31"/>
        <v>580</v>
      </c>
      <c r="G313" s="628" t="s">
        <v>1894</v>
      </c>
      <c r="H313" s="617"/>
    </row>
    <row r="314" spans="2:15" ht="18" customHeight="1">
      <c r="B314" s="661" t="s">
        <v>464</v>
      </c>
      <c r="C314" s="662"/>
      <c r="D314" s="662"/>
      <c r="E314" s="662"/>
      <c r="F314" s="663"/>
    </row>
    <row r="315" spans="2:15" s="613" customFormat="1" ht="18" customHeight="1">
      <c r="B315" s="659" t="s">
        <v>1975</v>
      </c>
      <c r="C315" s="660"/>
      <c r="D315" s="614">
        <v>450</v>
      </c>
      <c r="E315" s="615">
        <v>585</v>
      </c>
      <c r="F315" s="616">
        <f t="shared" ref="F315:F325" si="32">SUM(E315-D315)</f>
        <v>135</v>
      </c>
      <c r="G315" s="628" t="s">
        <v>1894</v>
      </c>
    </row>
    <row r="316" spans="2:15" ht="18" customHeight="1">
      <c r="B316" s="655" t="s">
        <v>1686</v>
      </c>
      <c r="C316" s="656"/>
      <c r="D316" s="209">
        <v>150</v>
      </c>
      <c r="E316" s="204">
        <v>150</v>
      </c>
      <c r="F316" s="487">
        <f t="shared" si="32"/>
        <v>0</v>
      </c>
      <c r="G316" s="594"/>
    </row>
    <row r="317" spans="2:15" ht="18" customHeight="1">
      <c r="B317" s="655" t="s">
        <v>1687</v>
      </c>
      <c r="C317" s="656"/>
      <c r="D317" s="209">
        <v>255</v>
      </c>
      <c r="E317" s="204">
        <v>255</v>
      </c>
      <c r="F317" s="487">
        <f t="shared" si="32"/>
        <v>0</v>
      </c>
      <c r="G317" s="594"/>
    </row>
    <row r="318" spans="2:15" ht="18" customHeight="1">
      <c r="B318" s="655" t="s">
        <v>1770</v>
      </c>
      <c r="C318" s="656"/>
      <c r="D318" s="209">
        <v>1500</v>
      </c>
      <c r="E318" s="204">
        <v>1500</v>
      </c>
      <c r="F318" s="487">
        <f t="shared" si="32"/>
        <v>0</v>
      </c>
      <c r="G318" s="594"/>
    </row>
    <row r="319" spans="2:15" ht="18" customHeight="1">
      <c r="B319" s="655" t="s">
        <v>1717</v>
      </c>
      <c r="C319" s="656"/>
      <c r="D319" s="209" t="s">
        <v>1714</v>
      </c>
      <c r="E319" s="629" t="s">
        <v>1873</v>
      </c>
      <c r="F319" s="487">
        <v>0</v>
      </c>
      <c r="G319" s="594"/>
    </row>
    <row r="320" spans="2:15" ht="18" customHeight="1">
      <c r="B320" s="655" t="s">
        <v>1688</v>
      </c>
      <c r="C320" s="656"/>
      <c r="D320" s="209">
        <v>250</v>
      </c>
      <c r="E320" s="204">
        <v>250</v>
      </c>
      <c r="F320" s="487">
        <f t="shared" si="32"/>
        <v>0</v>
      </c>
      <c r="G320" s="594"/>
    </row>
    <row r="321" spans="2:13" ht="18" customHeight="1">
      <c r="B321" s="655" t="s">
        <v>1683</v>
      </c>
      <c r="C321" s="656"/>
      <c r="D321" s="209">
        <v>400</v>
      </c>
      <c r="E321" s="204">
        <v>400</v>
      </c>
      <c r="F321" s="487">
        <f t="shared" si="32"/>
        <v>0</v>
      </c>
      <c r="G321" s="594"/>
    </row>
    <row r="322" spans="2:13" ht="18" customHeight="1">
      <c r="B322" s="655" t="s">
        <v>1684</v>
      </c>
      <c r="C322" s="656"/>
      <c r="D322" s="209">
        <v>200</v>
      </c>
      <c r="E322" s="204">
        <v>200</v>
      </c>
      <c r="F322" s="487">
        <f t="shared" si="32"/>
        <v>0</v>
      </c>
      <c r="G322" s="594"/>
    </row>
    <row r="323" spans="2:13" ht="18" customHeight="1">
      <c r="B323" s="655" t="s">
        <v>1905</v>
      </c>
      <c r="C323" s="656"/>
      <c r="D323" s="209">
        <v>3000</v>
      </c>
      <c r="E323" s="204">
        <v>3000</v>
      </c>
      <c r="F323" s="487">
        <f t="shared" si="32"/>
        <v>0</v>
      </c>
      <c r="G323" s="594"/>
    </row>
    <row r="324" spans="2:13" s="613" customFormat="1" ht="18" customHeight="1">
      <c r="B324" s="659" t="s">
        <v>1909</v>
      </c>
      <c r="C324" s="660"/>
      <c r="D324" s="614">
        <v>1500</v>
      </c>
      <c r="E324" s="615">
        <v>2350</v>
      </c>
      <c r="F324" s="616">
        <f t="shared" si="32"/>
        <v>850</v>
      </c>
      <c r="G324" s="628" t="s">
        <v>1894</v>
      </c>
      <c r="H324" s="613" t="s">
        <v>1888</v>
      </c>
    </row>
    <row r="325" spans="2:13" s="462" customFormat="1" ht="18" customHeight="1">
      <c r="B325" s="655" t="s">
        <v>1769</v>
      </c>
      <c r="C325" s="656"/>
      <c r="D325" s="209">
        <v>2110</v>
      </c>
      <c r="E325" s="204">
        <v>2110</v>
      </c>
      <c r="F325" s="487">
        <f t="shared" si="32"/>
        <v>0</v>
      </c>
      <c r="G325" s="556">
        <f>2.6*(2.9+2.9+1.9+1.9)-(2*(1.8+0.9+0.9))</f>
        <v>17.760000000000002</v>
      </c>
      <c r="H325" s="462">
        <v>103</v>
      </c>
      <c r="I325" s="462">
        <f>G325*H325</f>
        <v>1829.2800000000002</v>
      </c>
      <c r="J325" s="556">
        <f>(2.9+2.9+1.9+1.9)</f>
        <v>9.6</v>
      </c>
      <c r="K325" s="462">
        <v>25</v>
      </c>
      <c r="L325" s="462">
        <f>J325*K325</f>
        <v>240</v>
      </c>
      <c r="M325" s="462">
        <f>I325+L325</f>
        <v>2069.2800000000002</v>
      </c>
    </row>
    <row r="326" spans="2:13" s="613" customFormat="1" ht="18" customHeight="1">
      <c r="B326" s="653" t="s">
        <v>1811</v>
      </c>
      <c r="C326" s="664"/>
      <c r="D326" s="614">
        <v>0</v>
      </c>
      <c r="E326" s="615">
        <v>230</v>
      </c>
      <c r="F326" s="616">
        <f t="shared" ref="F326:F330" si="33">SUM(E326-D326)</f>
        <v>230</v>
      </c>
      <c r="G326" s="628" t="s">
        <v>1894</v>
      </c>
      <c r="H326" s="617"/>
    </row>
    <row r="327" spans="2:13" s="613" customFormat="1" ht="18" customHeight="1">
      <c r="B327" s="653" t="s">
        <v>1824</v>
      </c>
      <c r="C327" s="664"/>
      <c r="D327" s="614">
        <v>0</v>
      </c>
      <c r="E327" s="615">
        <v>1560</v>
      </c>
      <c r="F327" s="616">
        <f t="shared" si="33"/>
        <v>1560</v>
      </c>
      <c r="G327" s="628" t="s">
        <v>1894</v>
      </c>
      <c r="H327" s="617"/>
    </row>
    <row r="328" spans="2:13" s="613" customFormat="1" ht="18" customHeight="1">
      <c r="B328" s="653" t="s">
        <v>1821</v>
      </c>
      <c r="C328" s="664"/>
      <c r="D328" s="614">
        <v>0</v>
      </c>
      <c r="E328" s="615">
        <v>120</v>
      </c>
      <c r="F328" s="616">
        <f t="shared" si="33"/>
        <v>120</v>
      </c>
      <c r="G328" s="628" t="s">
        <v>1894</v>
      </c>
      <c r="H328" s="617"/>
    </row>
    <row r="329" spans="2:13" s="613" customFormat="1" ht="18" customHeight="1">
      <c r="B329" s="653" t="s">
        <v>1822</v>
      </c>
      <c r="C329" s="664"/>
      <c r="D329" s="614">
        <v>0</v>
      </c>
      <c r="E329" s="630" t="s">
        <v>1873</v>
      </c>
      <c r="F329" s="616">
        <v>0</v>
      </c>
      <c r="G329" s="628" t="s">
        <v>1894</v>
      </c>
      <c r="H329" s="617"/>
    </row>
    <row r="330" spans="2:13" s="613" customFormat="1" ht="18" customHeight="1">
      <c r="B330" s="653" t="s">
        <v>1823</v>
      </c>
      <c r="C330" s="664"/>
      <c r="D330" s="614">
        <v>0</v>
      </c>
      <c r="E330" s="615">
        <v>510</v>
      </c>
      <c r="F330" s="616">
        <f t="shared" si="33"/>
        <v>510</v>
      </c>
      <c r="G330" s="628" t="s">
        <v>1894</v>
      </c>
      <c r="H330" s="617"/>
    </row>
    <row r="331" spans="2:13" s="613" customFormat="1" ht="18" customHeight="1">
      <c r="B331" s="653" t="s">
        <v>1826</v>
      </c>
      <c r="C331" s="664"/>
      <c r="D331" s="614">
        <v>0</v>
      </c>
      <c r="E331" s="615">
        <v>160</v>
      </c>
      <c r="F331" s="616">
        <f t="shared" ref="F331" si="34">SUM(E331-D331)</f>
        <v>160</v>
      </c>
      <c r="G331" s="628" t="s">
        <v>1894</v>
      </c>
      <c r="H331" s="617"/>
    </row>
    <row r="332" spans="2:13" ht="18" customHeight="1">
      <c r="B332" s="661" t="s">
        <v>1788</v>
      </c>
      <c r="C332" s="662"/>
      <c r="D332" s="662"/>
      <c r="E332" s="662"/>
      <c r="F332" s="663"/>
    </row>
    <row r="333" spans="2:13" ht="18" customHeight="1">
      <c r="B333" s="655" t="s">
        <v>1789</v>
      </c>
      <c r="C333" s="656"/>
      <c r="D333" s="209">
        <v>1760</v>
      </c>
      <c r="E333" s="204">
        <v>1760</v>
      </c>
      <c r="F333" s="487">
        <f>SUM(E333-D333)</f>
        <v>0</v>
      </c>
      <c r="G333" s="556">
        <f>2.6*(1+1+1.9+1.9)</f>
        <v>15.08</v>
      </c>
      <c r="H333" s="462">
        <v>103</v>
      </c>
      <c r="I333" s="462">
        <f>G333*H333</f>
        <v>1553.24</v>
      </c>
      <c r="J333" s="556">
        <f>(1+1+1.9+1.9)</f>
        <v>5.8</v>
      </c>
      <c r="K333" s="462">
        <v>25</v>
      </c>
      <c r="L333" s="462">
        <f>J333*K333</f>
        <v>145</v>
      </c>
      <c r="M333" s="462">
        <f>I333+L333</f>
        <v>1698.24</v>
      </c>
    </row>
    <row r="334" spans="2:13" ht="18" customHeight="1">
      <c r="B334" s="655" t="s">
        <v>1787</v>
      </c>
      <c r="C334" s="656"/>
      <c r="D334" s="209">
        <v>400</v>
      </c>
      <c r="E334" s="204">
        <v>400</v>
      </c>
      <c r="F334" s="487">
        <f>SUM(E334-D334)</f>
        <v>0</v>
      </c>
      <c r="G334" s="594"/>
      <c r="H334" s="449" t="s">
        <v>1790</v>
      </c>
    </row>
    <row r="335" spans="2:13" s="613" customFormat="1" ht="18" customHeight="1">
      <c r="B335" s="653" t="s">
        <v>1819</v>
      </c>
      <c r="C335" s="664"/>
      <c r="D335" s="614">
        <v>0</v>
      </c>
      <c r="E335" s="615">
        <v>580</v>
      </c>
      <c r="F335" s="616">
        <f t="shared" ref="F335" si="35">SUM(E335-D335)</f>
        <v>580</v>
      </c>
      <c r="G335" s="628" t="s">
        <v>1894</v>
      </c>
      <c r="H335" s="617" t="s">
        <v>1863</v>
      </c>
    </row>
    <row r="336" spans="2:13" ht="18" customHeight="1">
      <c r="B336" s="661" t="s">
        <v>968</v>
      </c>
      <c r="C336" s="662"/>
      <c r="D336" s="662"/>
      <c r="E336" s="662"/>
      <c r="F336" s="663"/>
    </row>
    <row r="337" spans="2:13" s="613" customFormat="1" ht="18" customHeight="1">
      <c r="B337" s="659" t="s">
        <v>1825</v>
      </c>
      <c r="C337" s="660"/>
      <c r="D337" s="614">
        <v>450</v>
      </c>
      <c r="E337" s="615">
        <v>0</v>
      </c>
      <c r="F337" s="616">
        <f t="shared" ref="F337:F342" si="36">SUM(E337-D337)</f>
        <v>-450</v>
      </c>
      <c r="G337" s="628" t="s">
        <v>1894</v>
      </c>
    </row>
    <row r="338" spans="2:13" s="613" customFormat="1" ht="18" customHeight="1">
      <c r="B338" s="653" t="s">
        <v>1885</v>
      </c>
      <c r="C338" s="664"/>
      <c r="D338" s="614">
        <v>0</v>
      </c>
      <c r="E338" s="630" t="s">
        <v>1908</v>
      </c>
      <c r="F338" s="616">
        <v>0</v>
      </c>
      <c r="G338" s="628" t="s">
        <v>1894</v>
      </c>
      <c r="H338" s="617"/>
    </row>
    <row r="339" spans="2:13" ht="18" customHeight="1">
      <c r="B339" s="655" t="s">
        <v>1686</v>
      </c>
      <c r="C339" s="656"/>
      <c r="D339" s="209">
        <v>150</v>
      </c>
      <c r="E339" s="204">
        <v>150</v>
      </c>
      <c r="F339" s="487">
        <f t="shared" si="36"/>
        <v>0</v>
      </c>
      <c r="G339" s="594"/>
    </row>
    <row r="340" spans="2:13" s="613" customFormat="1" ht="18" customHeight="1">
      <c r="B340" s="653" t="s">
        <v>1823</v>
      </c>
      <c r="C340" s="664"/>
      <c r="D340" s="614">
        <v>0</v>
      </c>
      <c r="E340" s="615">
        <v>510</v>
      </c>
      <c r="F340" s="616">
        <f>SUM(E340-D340)</f>
        <v>510</v>
      </c>
      <c r="G340" s="628" t="s">
        <v>1894</v>
      </c>
      <c r="H340" s="617"/>
    </row>
    <row r="341" spans="2:13" s="613" customFormat="1" ht="18" customHeight="1">
      <c r="B341" s="653" t="s">
        <v>1886</v>
      </c>
      <c r="C341" s="664"/>
      <c r="D341" s="614">
        <v>0</v>
      </c>
      <c r="E341" s="615">
        <v>40</v>
      </c>
      <c r="F341" s="616">
        <f t="shared" si="36"/>
        <v>40</v>
      </c>
      <c r="G341" s="628" t="s">
        <v>1894</v>
      </c>
      <c r="H341" s="617" t="s">
        <v>433</v>
      </c>
    </row>
    <row r="342" spans="2:13" s="613" customFormat="1" ht="18" customHeight="1">
      <c r="B342" s="653" t="s">
        <v>1827</v>
      </c>
      <c r="C342" s="664"/>
      <c r="D342" s="614">
        <v>0</v>
      </c>
      <c r="E342" s="615">
        <v>650</v>
      </c>
      <c r="F342" s="616">
        <f t="shared" si="36"/>
        <v>650</v>
      </c>
      <c r="G342" s="628" t="s">
        <v>1894</v>
      </c>
      <c r="H342" s="617" t="s">
        <v>1850</v>
      </c>
    </row>
    <row r="343" spans="2:13" s="462" customFormat="1" ht="18" customHeight="1">
      <c r="B343" s="661" t="s">
        <v>388</v>
      </c>
      <c r="C343" s="662"/>
      <c r="D343" s="662"/>
      <c r="E343" s="662"/>
      <c r="F343" s="663"/>
    </row>
    <row r="344" spans="2:13" s="462" customFormat="1" ht="18" customHeight="1">
      <c r="B344" s="655" t="s">
        <v>1781</v>
      </c>
      <c r="C344" s="656"/>
      <c r="D344" s="209">
        <v>420</v>
      </c>
      <c r="E344" s="204">
        <v>420</v>
      </c>
      <c r="F344" s="487">
        <f t="shared" ref="F344:F350" si="37">SUM(E344-D344)</f>
        <v>0</v>
      </c>
      <c r="G344" s="594"/>
    </row>
    <row r="345" spans="2:13" s="462" customFormat="1" ht="18" customHeight="1">
      <c r="B345" s="655" t="s">
        <v>1782</v>
      </c>
      <c r="C345" s="656"/>
      <c r="D345" s="209">
        <v>750</v>
      </c>
      <c r="E345" s="204">
        <v>750</v>
      </c>
      <c r="F345" s="487">
        <f t="shared" si="37"/>
        <v>0</v>
      </c>
      <c r="G345" s="594"/>
      <c r="H345" s="462" t="s">
        <v>1783</v>
      </c>
    </row>
    <row r="346" spans="2:13" s="462" customFormat="1" ht="18" customHeight="1">
      <c r="B346" s="655" t="s">
        <v>1196</v>
      </c>
      <c r="C346" s="656"/>
      <c r="D346" s="209">
        <v>550</v>
      </c>
      <c r="E346" s="204">
        <v>550</v>
      </c>
      <c r="F346" s="487">
        <f t="shared" si="37"/>
        <v>0</v>
      </c>
      <c r="G346" s="594"/>
      <c r="H346" s="462" t="s">
        <v>1778</v>
      </c>
    </row>
    <row r="347" spans="2:13" s="613" customFormat="1" ht="18" customHeight="1">
      <c r="B347" s="653" t="s">
        <v>1911</v>
      </c>
      <c r="C347" s="664"/>
      <c r="D347" s="614">
        <v>0</v>
      </c>
      <c r="E347" s="615">
        <v>400</v>
      </c>
      <c r="F347" s="616">
        <f>SUM(E347-D347)</f>
        <v>400</v>
      </c>
      <c r="G347" s="628" t="s">
        <v>1894</v>
      </c>
      <c r="H347" s="617" t="s">
        <v>1852</v>
      </c>
      <c r="M347" s="613">
        <v>975.99</v>
      </c>
    </row>
    <row r="348" spans="2:13" s="613" customFormat="1" ht="18" customHeight="1">
      <c r="B348" s="655" t="s">
        <v>1903</v>
      </c>
      <c r="C348" s="656"/>
      <c r="D348" s="209">
        <v>3750</v>
      </c>
      <c r="E348" s="204">
        <v>3750</v>
      </c>
      <c r="F348" s="487">
        <f t="shared" si="37"/>
        <v>0</v>
      </c>
      <c r="G348" s="594"/>
      <c r="H348" s="618" t="s">
        <v>1784</v>
      </c>
      <c r="I348" s="618"/>
      <c r="J348" s="618"/>
    </row>
    <row r="349" spans="2:13" s="613" customFormat="1" ht="18" customHeight="1">
      <c r="B349" s="659" t="s">
        <v>1892</v>
      </c>
      <c r="C349" s="660"/>
      <c r="D349" s="614">
        <v>750</v>
      </c>
      <c r="E349" s="615">
        <v>960</v>
      </c>
      <c r="F349" s="616">
        <f t="shared" si="37"/>
        <v>210</v>
      </c>
      <c r="G349" s="628" t="s">
        <v>1894</v>
      </c>
      <c r="H349" s="613" t="s">
        <v>1785</v>
      </c>
      <c r="J349" s="613" t="s">
        <v>1893</v>
      </c>
    </row>
    <row r="350" spans="2:13" ht="18" customHeight="1">
      <c r="B350" s="655" t="s">
        <v>1718</v>
      </c>
      <c r="C350" s="656"/>
      <c r="D350" s="209">
        <v>1720</v>
      </c>
      <c r="E350" s="204">
        <v>1720</v>
      </c>
      <c r="F350" s="487">
        <f t="shared" si="37"/>
        <v>0</v>
      </c>
      <c r="G350" s="594"/>
    </row>
    <row r="351" spans="2:13" s="620" customFormat="1" ht="18" customHeight="1">
      <c r="B351" s="657" t="s">
        <v>1889</v>
      </c>
      <c r="C351" s="658"/>
      <c r="D351" s="623">
        <v>900</v>
      </c>
      <c r="E351" s="624">
        <v>900</v>
      </c>
      <c r="F351" s="625">
        <f>SUM(E351-D351)</f>
        <v>0</v>
      </c>
      <c r="G351" s="594"/>
    </row>
    <row r="352" spans="2:13" s="613" customFormat="1" ht="18" customHeight="1">
      <c r="B352" s="653" t="s">
        <v>1811</v>
      </c>
      <c r="C352" s="664"/>
      <c r="D352" s="614">
        <v>0</v>
      </c>
      <c r="E352" s="615">
        <v>245</v>
      </c>
      <c r="F352" s="616">
        <f>SUM(E352-D352)</f>
        <v>245</v>
      </c>
      <c r="G352" s="628" t="s">
        <v>1894</v>
      </c>
      <c r="H352" s="617"/>
    </row>
    <row r="353" spans="2:14" s="613" customFormat="1" ht="18" customHeight="1">
      <c r="B353" s="653" t="s">
        <v>1812</v>
      </c>
      <c r="C353" s="664"/>
      <c r="D353" s="614">
        <v>0</v>
      </c>
      <c r="E353" s="615">
        <v>130</v>
      </c>
      <c r="F353" s="616">
        <f>SUM(E353-D353)</f>
        <v>130</v>
      </c>
      <c r="G353" s="628" t="s">
        <v>1894</v>
      </c>
      <c r="H353" s="617"/>
    </row>
    <row r="354" spans="2:14" s="613" customFormat="1" ht="18" customHeight="1">
      <c r="B354" s="653" t="s">
        <v>1978</v>
      </c>
      <c r="C354" s="664"/>
      <c r="D354" s="614">
        <v>0</v>
      </c>
      <c r="E354" s="639">
        <v>690</v>
      </c>
      <c r="F354" s="616">
        <f>SUM(E354-D354)</f>
        <v>690</v>
      </c>
      <c r="G354" s="636" t="s">
        <v>1914</v>
      </c>
      <c r="H354" s="617" t="s">
        <v>1979</v>
      </c>
      <c r="M354" s="613">
        <v>975.99</v>
      </c>
    </row>
    <row r="355" spans="2:14" s="462" customFormat="1" ht="18" customHeight="1">
      <c r="B355" s="661" t="s">
        <v>465</v>
      </c>
      <c r="C355" s="662"/>
      <c r="D355" s="662"/>
      <c r="E355" s="662"/>
      <c r="F355" s="663"/>
    </row>
    <row r="356" spans="2:14" s="620" customFormat="1" ht="18" customHeight="1">
      <c r="B356" s="659" t="s">
        <v>1828</v>
      </c>
      <c r="C356" s="660"/>
      <c r="D356" s="614">
        <v>1155</v>
      </c>
      <c r="E356" s="615">
        <v>0</v>
      </c>
      <c r="F356" s="616">
        <f>SUM(E356-D356)</f>
        <v>-1155</v>
      </c>
      <c r="G356" s="628" t="s">
        <v>1894</v>
      </c>
    </row>
    <row r="357" spans="2:14" s="462" customFormat="1" ht="18" customHeight="1">
      <c r="B357" s="659" t="s">
        <v>1973</v>
      </c>
      <c r="C357" s="660"/>
      <c r="D357" s="614">
        <v>1290</v>
      </c>
      <c r="E357" s="639">
        <v>1650</v>
      </c>
      <c r="F357" s="616">
        <f>SUM(E357-D357)</f>
        <v>360</v>
      </c>
      <c r="G357" s="636" t="s">
        <v>1914</v>
      </c>
    </row>
    <row r="358" spans="2:14" s="462" customFormat="1" ht="18" customHeight="1">
      <c r="B358" s="661" t="s">
        <v>400</v>
      </c>
      <c r="C358" s="662"/>
      <c r="D358" s="662"/>
      <c r="E358" s="662"/>
      <c r="F358" s="663"/>
      <c r="H358" s="462" t="s">
        <v>1890</v>
      </c>
    </row>
    <row r="359" spans="2:14" s="620" customFormat="1" ht="18" customHeight="1">
      <c r="B359" s="659" t="s">
        <v>1912</v>
      </c>
      <c r="C359" s="660"/>
      <c r="D359" s="614">
        <v>3500</v>
      </c>
      <c r="E359" s="639">
        <v>4190</v>
      </c>
      <c r="F359" s="616">
        <f t="shared" ref="F359:F367" si="38">SUM(E359-D359)</f>
        <v>690</v>
      </c>
      <c r="G359" s="628" t="s">
        <v>1894</v>
      </c>
      <c r="H359" s="620" t="s">
        <v>1948</v>
      </c>
      <c r="I359" s="620">
        <f>50*40</f>
        <v>2000</v>
      </c>
      <c r="J359" s="620">
        <f>20*75</f>
        <v>1500</v>
      </c>
      <c r="K359" s="620">
        <f>I359+J359</f>
        <v>3500</v>
      </c>
    </row>
    <row r="360" spans="2:14" s="462" customFormat="1" ht="18" customHeight="1">
      <c r="B360" s="655" t="s">
        <v>1774</v>
      </c>
      <c r="C360" s="656"/>
      <c r="D360" s="209">
        <v>170</v>
      </c>
      <c r="E360" s="204">
        <v>170</v>
      </c>
      <c r="F360" s="487">
        <f t="shared" si="38"/>
        <v>0</v>
      </c>
      <c r="G360" s="594"/>
    </row>
    <row r="361" spans="2:14" s="613" customFormat="1" ht="18" customHeight="1">
      <c r="B361" s="653" t="s">
        <v>1829</v>
      </c>
      <c r="C361" s="664"/>
      <c r="D361" s="614">
        <v>0</v>
      </c>
      <c r="E361" s="615">
        <v>675</v>
      </c>
      <c r="F361" s="616">
        <f t="shared" si="38"/>
        <v>675</v>
      </c>
      <c r="G361" s="628" t="s">
        <v>1894</v>
      </c>
      <c r="H361" s="617"/>
    </row>
    <row r="362" spans="2:14" s="613" customFormat="1" ht="18" customHeight="1">
      <c r="B362" s="653" t="s">
        <v>1830</v>
      </c>
      <c r="C362" s="664"/>
      <c r="D362" s="614">
        <v>0</v>
      </c>
      <c r="E362" s="639">
        <v>2420</v>
      </c>
      <c r="F362" s="616">
        <f t="shared" si="38"/>
        <v>2420</v>
      </c>
      <c r="G362" s="628" t="s">
        <v>1894</v>
      </c>
      <c r="H362" s="617"/>
    </row>
    <row r="363" spans="2:14" s="613" customFormat="1" ht="18" customHeight="1">
      <c r="B363" s="653" t="s">
        <v>1842</v>
      </c>
      <c r="C363" s="664"/>
      <c r="D363" s="614">
        <v>0</v>
      </c>
      <c r="E363" s="615">
        <v>1530</v>
      </c>
      <c r="F363" s="616">
        <f t="shared" si="38"/>
        <v>1530</v>
      </c>
      <c r="G363" s="628" t="s">
        <v>1894</v>
      </c>
      <c r="H363" s="617"/>
    </row>
    <row r="364" spans="2:14" s="613" customFormat="1" ht="18" customHeight="1">
      <c r="B364" s="653" t="s">
        <v>1843</v>
      </c>
      <c r="C364" s="664"/>
      <c r="D364" s="614">
        <v>0</v>
      </c>
      <c r="E364" s="615">
        <v>405</v>
      </c>
      <c r="F364" s="616">
        <f t="shared" si="38"/>
        <v>405</v>
      </c>
      <c r="G364" s="628" t="s">
        <v>1894</v>
      </c>
      <c r="H364" s="617"/>
    </row>
    <row r="365" spans="2:14" s="613" customFormat="1" ht="18" customHeight="1">
      <c r="B365" s="653" t="s">
        <v>1844</v>
      </c>
      <c r="C365" s="664"/>
      <c r="D365" s="614">
        <v>0</v>
      </c>
      <c r="E365" s="615">
        <v>170</v>
      </c>
      <c r="F365" s="616">
        <f t="shared" si="38"/>
        <v>170</v>
      </c>
      <c r="G365" s="628" t="s">
        <v>1894</v>
      </c>
      <c r="H365" s="617"/>
    </row>
    <row r="366" spans="2:14" s="613" customFormat="1" ht="18" customHeight="1">
      <c r="B366" s="653" t="s">
        <v>1831</v>
      </c>
      <c r="C366" s="664"/>
      <c r="D366" s="614">
        <v>0</v>
      </c>
      <c r="E366" s="615">
        <v>625</v>
      </c>
      <c r="F366" s="616">
        <f t="shared" si="38"/>
        <v>625</v>
      </c>
      <c r="G366" s="628" t="s">
        <v>1894</v>
      </c>
      <c r="H366" s="617"/>
      <c r="N366" s="634"/>
    </row>
    <row r="367" spans="2:14" s="613" customFormat="1" ht="18" customHeight="1">
      <c r="B367" s="653" t="s">
        <v>1832</v>
      </c>
      <c r="C367" s="664"/>
      <c r="D367" s="614">
        <v>0</v>
      </c>
      <c r="E367" s="615">
        <v>340</v>
      </c>
      <c r="F367" s="616">
        <f t="shared" si="38"/>
        <v>340</v>
      </c>
      <c r="G367" s="628" t="s">
        <v>1894</v>
      </c>
      <c r="H367" s="617"/>
      <c r="N367" s="634"/>
    </row>
    <row r="368" spans="2:14" s="613" customFormat="1" ht="18" customHeight="1">
      <c r="B368" s="653" t="s">
        <v>1916</v>
      </c>
      <c r="C368" s="664"/>
      <c r="D368" s="614">
        <v>0</v>
      </c>
      <c r="E368" s="638">
        <v>0</v>
      </c>
      <c r="F368" s="616">
        <f t="shared" ref="F368:F369" si="39">SUM(E368-D368)</f>
        <v>0</v>
      </c>
      <c r="G368" s="636" t="s">
        <v>1914</v>
      </c>
      <c r="H368" s="617" t="s">
        <v>1986</v>
      </c>
      <c r="N368" s="634"/>
    </row>
    <row r="369" spans="2:14" s="613" customFormat="1" ht="18" customHeight="1">
      <c r="B369" s="653" t="s">
        <v>1928</v>
      </c>
      <c r="C369" s="664"/>
      <c r="D369" s="614">
        <v>0</v>
      </c>
      <c r="E369" s="638">
        <v>0</v>
      </c>
      <c r="F369" s="616">
        <f t="shared" si="39"/>
        <v>0</v>
      </c>
      <c r="G369" s="636" t="s">
        <v>1914</v>
      </c>
      <c r="H369" s="617" t="s">
        <v>1986</v>
      </c>
      <c r="N369" s="634"/>
    </row>
    <row r="370" spans="2:14" s="613" customFormat="1" ht="27.75" customHeight="1">
      <c r="B370" s="665" t="s">
        <v>1976</v>
      </c>
      <c r="C370" s="666"/>
      <c r="D370" s="614">
        <v>0</v>
      </c>
      <c r="E370" s="615">
        <v>3500</v>
      </c>
      <c r="F370" s="616">
        <f t="shared" ref="F370" si="40">SUM(E370-D370)</f>
        <v>3500</v>
      </c>
      <c r="G370" s="642" t="s">
        <v>1914</v>
      </c>
      <c r="H370" s="617" t="s">
        <v>1977</v>
      </c>
    </row>
    <row r="371" spans="2:14" s="462" customFormat="1" ht="18" customHeight="1">
      <c r="B371" s="661" t="s">
        <v>1833</v>
      </c>
      <c r="C371" s="662"/>
      <c r="D371" s="662"/>
      <c r="E371" s="662"/>
      <c r="F371" s="663"/>
      <c r="N371" s="556">
        <v>29.6</v>
      </c>
    </row>
    <row r="372" spans="2:14" s="613" customFormat="1" ht="27" customHeight="1">
      <c r="B372" s="653" t="s">
        <v>1956</v>
      </c>
      <c r="C372" s="664"/>
      <c r="D372" s="614">
        <v>0</v>
      </c>
      <c r="E372" s="639">
        <v>21295</v>
      </c>
      <c r="F372" s="616">
        <f>SUM(E372-D372)</f>
        <v>21295</v>
      </c>
      <c r="G372" s="636" t="s">
        <v>1914</v>
      </c>
      <c r="H372" s="641" t="s">
        <v>1957</v>
      </c>
      <c r="N372" s="634">
        <v>10.88</v>
      </c>
    </row>
    <row r="373" spans="2:14" s="462" customFormat="1" ht="18" customHeight="1">
      <c r="B373" s="661" t="s">
        <v>1834</v>
      </c>
      <c r="C373" s="662"/>
      <c r="D373" s="662"/>
      <c r="E373" s="662"/>
      <c r="F373" s="663"/>
      <c r="N373" s="556">
        <v>41.26</v>
      </c>
    </row>
    <row r="374" spans="2:14" s="613" customFormat="1" ht="18" customHeight="1">
      <c r="B374" s="653" t="s">
        <v>1835</v>
      </c>
      <c r="C374" s="664"/>
      <c r="D374" s="614">
        <v>0</v>
      </c>
      <c r="E374" s="615">
        <v>9200</v>
      </c>
      <c r="F374" s="616">
        <f>SUM(E374-D374)</f>
        <v>9200</v>
      </c>
      <c r="G374" s="628" t="s">
        <v>1894</v>
      </c>
      <c r="H374" s="617"/>
      <c r="N374" s="634">
        <v>20</v>
      </c>
    </row>
    <row r="375" spans="2:14" s="462" customFormat="1" ht="18" customHeight="1">
      <c r="B375" s="661" t="s">
        <v>421</v>
      </c>
      <c r="C375" s="662"/>
      <c r="D375" s="662"/>
      <c r="E375" s="662"/>
      <c r="F375" s="663"/>
      <c r="N375" s="635">
        <f>SUM(N371:N374)</f>
        <v>101.74000000000001</v>
      </c>
    </row>
    <row r="376" spans="2:14" s="462" customFormat="1" ht="18" customHeight="1">
      <c r="B376" s="659" t="s">
        <v>1993</v>
      </c>
      <c r="C376" s="660"/>
      <c r="D376" s="614">
        <v>3160</v>
      </c>
      <c r="E376" s="639">
        <v>4120</v>
      </c>
      <c r="F376" s="616">
        <f>SUM(E376-D376)</f>
        <v>960</v>
      </c>
      <c r="G376" s="636" t="s">
        <v>1914</v>
      </c>
      <c r="H376" s="620" t="s">
        <v>1992</v>
      </c>
      <c r="N376" s="556">
        <f>N375*1.1</f>
        <v>111.91400000000002</v>
      </c>
    </row>
    <row r="377" spans="2:14" s="613" customFormat="1" ht="18" customHeight="1">
      <c r="B377" s="653" t="s">
        <v>1836</v>
      </c>
      <c r="C377" s="664"/>
      <c r="D377" s="614">
        <v>0</v>
      </c>
      <c r="E377" s="615">
        <v>3220</v>
      </c>
      <c r="F377" s="616">
        <f>SUM(E377-D377)</f>
        <v>3220</v>
      </c>
      <c r="G377" s="628" t="s">
        <v>1894</v>
      </c>
      <c r="H377" s="617" t="s">
        <v>1862</v>
      </c>
      <c r="N377" s="634"/>
    </row>
    <row r="378" spans="2:14" s="462" customFormat="1" ht="18" customHeight="1">
      <c r="B378" s="661" t="s">
        <v>1919</v>
      </c>
      <c r="C378" s="662"/>
      <c r="D378" s="662"/>
      <c r="E378" s="662"/>
      <c r="F378" s="663"/>
      <c r="N378" s="556">
        <v>41.26</v>
      </c>
    </row>
    <row r="379" spans="2:14" s="613" customFormat="1" ht="18" customHeight="1">
      <c r="B379" s="653" t="s">
        <v>1921</v>
      </c>
      <c r="C379" s="664"/>
      <c r="D379" s="614">
        <v>0</v>
      </c>
      <c r="E379" s="615">
        <v>0</v>
      </c>
      <c r="F379" s="616">
        <f>SUM(E379-D379)</f>
        <v>0</v>
      </c>
      <c r="G379" s="636" t="s">
        <v>1914</v>
      </c>
      <c r="H379" s="637" t="s">
        <v>1927</v>
      </c>
      <c r="N379" s="634"/>
    </row>
    <row r="380" spans="2:14" s="613" customFormat="1" ht="18" customHeight="1">
      <c r="B380" s="653" t="s">
        <v>1945</v>
      </c>
      <c r="C380" s="664"/>
      <c r="D380" s="614">
        <v>0</v>
      </c>
      <c r="E380" s="615">
        <v>1200</v>
      </c>
      <c r="F380" s="616">
        <f>SUM(E380-D380)</f>
        <v>1200</v>
      </c>
      <c r="G380" s="636" t="s">
        <v>1914</v>
      </c>
      <c r="H380" s="637" t="s">
        <v>1944</v>
      </c>
      <c r="N380" s="634">
        <v>20</v>
      </c>
    </row>
    <row r="381" spans="2:14" s="613" customFormat="1" ht="18" customHeight="1">
      <c r="B381" s="653" t="s">
        <v>1920</v>
      </c>
      <c r="C381" s="664"/>
      <c r="D381" s="614">
        <v>0</v>
      </c>
      <c r="E381" s="615">
        <v>0</v>
      </c>
      <c r="F381" s="616">
        <f>SUM(E381-D381)</f>
        <v>0</v>
      </c>
      <c r="G381" s="636" t="s">
        <v>1914</v>
      </c>
      <c r="H381" s="637" t="s">
        <v>1926</v>
      </c>
      <c r="N381" s="634"/>
    </row>
    <row r="382" spans="2:14" s="462" customFormat="1" ht="18" customHeight="1">
      <c r="B382" s="661" t="s">
        <v>427</v>
      </c>
      <c r="C382" s="662"/>
      <c r="D382" s="662"/>
      <c r="E382" s="662"/>
      <c r="F382" s="663"/>
      <c r="N382" s="556"/>
    </row>
    <row r="383" spans="2:14" s="462" customFormat="1" ht="25.9" customHeight="1">
      <c r="B383" s="655" t="s">
        <v>1706</v>
      </c>
      <c r="C383" s="656"/>
      <c r="D383" s="209">
        <v>1120</v>
      </c>
      <c r="E383" s="204">
        <v>1120</v>
      </c>
      <c r="F383" s="487">
        <f>SUM(E383-D383)</f>
        <v>0</v>
      </c>
      <c r="G383" s="594"/>
      <c r="H383" s="462" t="s">
        <v>943</v>
      </c>
      <c r="I383" s="462">
        <f>+'2.TRAVEL'!H43</f>
        <v>140</v>
      </c>
      <c r="J383" s="591" t="s">
        <v>1703</v>
      </c>
      <c r="K383" s="591"/>
      <c r="N383" s="556"/>
    </row>
    <row r="384" spans="2:14" s="613" customFormat="1" ht="18" customHeight="1">
      <c r="B384" s="653" t="s">
        <v>1837</v>
      </c>
      <c r="C384" s="654"/>
      <c r="D384" s="614">
        <v>0</v>
      </c>
      <c r="E384" s="615">
        <v>2900</v>
      </c>
      <c r="F384" s="616">
        <f>SUM(E384-D384)</f>
        <v>2900</v>
      </c>
      <c r="G384" s="628" t="s">
        <v>1894</v>
      </c>
      <c r="H384" s="617"/>
      <c r="N384" s="634"/>
    </row>
    <row r="385" spans="2:14" s="175" customFormat="1" ht="18" customHeight="1">
      <c r="B385" s="661" t="s">
        <v>1357</v>
      </c>
      <c r="C385" s="662"/>
      <c r="D385" s="662"/>
      <c r="E385" s="662"/>
      <c r="F385" s="663"/>
      <c r="J385" s="592" t="s">
        <v>1704</v>
      </c>
      <c r="K385" s="592">
        <v>47.91</v>
      </c>
      <c r="N385" s="95"/>
    </row>
    <row r="386" spans="2:14" s="40" customFormat="1" ht="18" customHeight="1">
      <c r="B386" s="525" t="s">
        <v>466</v>
      </c>
      <c r="C386" s="526"/>
      <c r="D386" s="209">
        <v>1515</v>
      </c>
      <c r="E386" s="204">
        <v>1515</v>
      </c>
      <c r="F386" s="205">
        <f>SUM(E386-D386)</f>
        <v>0</v>
      </c>
      <c r="G386" s="594"/>
      <c r="J386" s="593" t="s">
        <v>1705</v>
      </c>
      <c r="K386" s="593">
        <v>9.35</v>
      </c>
      <c r="N386" s="21"/>
    </row>
    <row r="387" spans="2:14" s="40" customFormat="1" ht="18" customHeight="1">
      <c r="B387" s="678" t="s">
        <v>1644</v>
      </c>
      <c r="C387" s="679"/>
      <c r="D387" s="679"/>
      <c r="E387" s="679"/>
      <c r="F387" s="680"/>
      <c r="J387" s="593"/>
      <c r="K387" s="593">
        <f>SUM(K385:K386)</f>
        <v>57.26</v>
      </c>
      <c r="N387" s="21"/>
    </row>
    <row r="388" spans="2:14" s="40" customFormat="1" ht="18" customHeight="1">
      <c r="B388" s="674" t="s">
        <v>1358</v>
      </c>
      <c r="C388" s="675"/>
      <c r="D388" s="675"/>
      <c r="E388" s="675"/>
      <c r="F388" s="676"/>
      <c r="J388" s="593"/>
      <c r="K388" s="593">
        <v>-50</v>
      </c>
      <c r="N388" s="21"/>
    </row>
    <row r="389" spans="2:14" s="40" customFormat="1" ht="17.100000000000001" customHeight="1">
      <c r="B389" s="661" t="s">
        <v>203</v>
      </c>
      <c r="C389" s="677"/>
      <c r="D389" s="209">
        <v>590</v>
      </c>
      <c r="E389" s="204">
        <v>590</v>
      </c>
      <c r="F389" s="205">
        <f>SUM(E389-D389)</f>
        <v>0</v>
      </c>
      <c r="G389" s="594"/>
      <c r="N389" s="21"/>
    </row>
    <row r="390" spans="2:14" s="462" customFormat="1" ht="18" customHeight="1">
      <c r="B390" s="669" t="s">
        <v>472</v>
      </c>
      <c r="C390" s="670"/>
      <c r="D390" s="203">
        <f>SUM(D183:D389)</f>
        <v>697515</v>
      </c>
      <c r="E390" s="629">
        <f>SUM(E183:E389)</f>
        <v>312880</v>
      </c>
      <c r="F390" s="492">
        <f>SUM(F183:F389)</f>
        <v>-384635</v>
      </c>
      <c r="G390" s="493"/>
      <c r="N390" s="556"/>
    </row>
    <row r="391" spans="2:14" s="462" customFormat="1" ht="18" customHeight="1">
      <c r="B391" s="494"/>
      <c r="C391" s="495" t="s">
        <v>473</v>
      </c>
      <c r="D391" s="671">
        <f>SUM(E390)</f>
        <v>312880</v>
      </c>
      <c r="E391" s="672"/>
      <c r="F391" s="673"/>
      <c r="N391" s="556"/>
    </row>
    <row r="392" spans="2:14" s="462" customFormat="1" ht="18" customHeight="1">
      <c r="B392" s="494"/>
      <c r="C392" s="495"/>
      <c r="D392" s="496"/>
      <c r="E392" s="496"/>
      <c r="F392" s="497"/>
    </row>
    <row r="393" spans="2:14" s="462" customFormat="1" ht="18" customHeight="1" thickBot="1">
      <c r="B393" s="667" t="s">
        <v>474</v>
      </c>
      <c r="C393" s="668"/>
      <c r="D393" s="498"/>
      <c r="E393" s="498"/>
      <c r="F393" s="499"/>
    </row>
    <row r="394" spans="2:14" s="462" customFormat="1" ht="18" customHeight="1" thickBot="1">
      <c r="B394" s="500"/>
      <c r="C394" s="501"/>
      <c r="D394" s="502"/>
      <c r="E394" s="502"/>
      <c r="F394" s="502"/>
    </row>
    <row r="395" spans="2:14" s="462" customFormat="1" ht="18" customHeight="1">
      <c r="B395" s="503"/>
      <c r="C395" s="504"/>
      <c r="D395" s="505"/>
      <c r="E395" s="505"/>
      <c r="F395" s="506"/>
    </row>
    <row r="396" spans="2:14" ht="18" customHeight="1">
      <c r="B396" s="507"/>
      <c r="C396" s="501"/>
      <c r="D396" s="502"/>
      <c r="E396" s="502"/>
      <c r="F396" s="508"/>
      <c r="G396" s="500"/>
    </row>
    <row r="397" spans="2:14" ht="18" customHeight="1">
      <c r="B397" s="507"/>
      <c r="C397" s="501"/>
      <c r="D397" s="502"/>
      <c r="E397" s="502"/>
      <c r="F397" s="508"/>
    </row>
    <row r="398" spans="2:14" ht="18" customHeight="1">
      <c r="B398" s="507"/>
      <c r="C398" s="501"/>
      <c r="D398" s="502"/>
      <c r="E398" s="502"/>
      <c r="F398" s="508"/>
    </row>
    <row r="399" spans="2:14" ht="18" customHeight="1">
      <c r="B399" s="491"/>
      <c r="F399" s="453"/>
    </row>
    <row r="400" spans="2:14" ht="18" customHeight="1">
      <c r="B400" s="491"/>
      <c r="F400" s="453"/>
    </row>
    <row r="401" spans="2:6" ht="18" customHeight="1">
      <c r="B401" s="491"/>
      <c r="F401" s="453"/>
    </row>
    <row r="402" spans="2:6" ht="18" customHeight="1">
      <c r="B402" s="491"/>
      <c r="F402" s="453"/>
    </row>
    <row r="403" spans="2:6" ht="18" customHeight="1">
      <c r="B403" s="493"/>
      <c r="C403" s="509" t="s">
        <v>475</v>
      </c>
      <c r="D403" s="448"/>
      <c r="E403" s="448"/>
      <c r="F403" s="510"/>
    </row>
    <row r="404" spans="2:6" ht="18" customHeight="1">
      <c r="B404" s="511" t="s">
        <v>476</v>
      </c>
      <c r="C404" s="448" t="s">
        <v>477</v>
      </c>
      <c r="D404" s="448"/>
      <c r="E404" s="448" t="s">
        <v>478</v>
      </c>
      <c r="F404" s="510"/>
    </row>
    <row r="405" spans="2:6" ht="18" customHeight="1">
      <c r="B405" s="512"/>
      <c r="C405" s="513"/>
      <c r="D405" s="235"/>
      <c r="E405" s="236"/>
      <c r="F405" s="510"/>
    </row>
    <row r="406" spans="2:6" ht="18" customHeight="1">
      <c r="B406" s="514">
        <v>0.05</v>
      </c>
      <c r="C406" s="515" t="s">
        <v>479</v>
      </c>
      <c r="D406" s="239"/>
      <c r="E406" s="240">
        <f>D391*0.05</f>
        <v>15644</v>
      </c>
      <c r="F406" s="510"/>
    </row>
    <row r="407" spans="2:6" ht="18" customHeight="1">
      <c r="B407" s="514">
        <v>0.15</v>
      </c>
      <c r="C407" s="515" t="s">
        <v>480</v>
      </c>
      <c r="D407" s="239"/>
      <c r="E407" s="240">
        <f>SUM(D391*0.15)</f>
        <v>46932</v>
      </c>
      <c r="F407" s="510"/>
    </row>
    <row r="408" spans="2:6" ht="18" customHeight="1">
      <c r="B408" s="514">
        <v>0.15</v>
      </c>
      <c r="C408" s="515" t="s">
        <v>481</v>
      </c>
      <c r="D408" s="239"/>
      <c r="E408" s="240">
        <f>SUM(D391*0.15)</f>
        <v>46932</v>
      </c>
      <c r="F408" s="510"/>
    </row>
    <row r="409" spans="2:6" s="462" customFormat="1" ht="18" customHeight="1">
      <c r="B409" s="516">
        <v>0.17499999999999999</v>
      </c>
      <c r="C409" s="515" t="s">
        <v>482</v>
      </c>
      <c r="D409" s="239"/>
      <c r="E409" s="240">
        <f>SUM(D391*0.175)</f>
        <v>54754</v>
      </c>
      <c r="F409" s="510"/>
    </row>
    <row r="410" spans="2:6" s="462" customFormat="1" ht="18" customHeight="1">
      <c r="B410" s="516">
        <v>0.17499999999999999</v>
      </c>
      <c r="C410" s="515" t="s">
        <v>483</v>
      </c>
      <c r="D410" s="239"/>
      <c r="E410" s="240">
        <f>SUM(D391*0.175)</f>
        <v>54754</v>
      </c>
      <c r="F410" s="510"/>
    </row>
    <row r="411" spans="2:6" s="462" customFormat="1" ht="18" customHeight="1">
      <c r="B411" s="514">
        <v>0.1</v>
      </c>
      <c r="C411" s="515" t="s">
        <v>1622</v>
      </c>
      <c r="D411" s="239"/>
      <c r="E411" s="240">
        <f>SUM(D391*0.1)</f>
        <v>31288</v>
      </c>
      <c r="F411" s="510"/>
    </row>
    <row r="412" spans="2:6" s="462" customFormat="1" ht="18" customHeight="1">
      <c r="B412" s="514">
        <v>0.1</v>
      </c>
      <c r="C412" s="515" t="s">
        <v>1623</v>
      </c>
      <c r="D412" s="239"/>
      <c r="E412" s="240">
        <f>SUM(D391*0.1)</f>
        <v>31288</v>
      </c>
      <c r="F412" s="510"/>
    </row>
    <row r="413" spans="2:6" s="462" customFormat="1" ht="18" customHeight="1">
      <c r="B413" s="514">
        <v>0.1</v>
      </c>
      <c r="C413" s="515" t="s">
        <v>485</v>
      </c>
      <c r="D413" s="517"/>
      <c r="E413" s="240">
        <f>D391*0.1</f>
        <v>31288</v>
      </c>
      <c r="F413" s="510"/>
    </row>
    <row r="414" spans="2:6" s="462" customFormat="1" ht="18" customHeight="1">
      <c r="B414" s="511"/>
      <c r="C414" s="463"/>
      <c r="D414" s="448"/>
      <c r="E414" s="518"/>
      <c r="F414" s="510"/>
    </row>
    <row r="415" spans="2:6" s="462" customFormat="1" ht="18" customHeight="1">
      <c r="B415" s="493"/>
      <c r="C415" s="509" t="s">
        <v>486</v>
      </c>
      <c r="D415" s="517"/>
      <c r="F415" s="510"/>
    </row>
    <row r="416" spans="2:6" s="462" customFormat="1" ht="18" customHeight="1">
      <c r="B416" s="493"/>
      <c r="C416" s="463" t="s">
        <v>487</v>
      </c>
      <c r="D416" s="448"/>
      <c r="E416" s="463">
        <f>SUM(D391)/1.1</f>
        <v>284436.36363636359</v>
      </c>
      <c r="F416" s="510"/>
    </row>
    <row r="417" spans="2:6" s="462" customFormat="1" ht="18" customHeight="1">
      <c r="B417" s="493"/>
      <c r="C417" s="463" t="s">
        <v>488</v>
      </c>
      <c r="D417" s="448"/>
      <c r="E417" s="463">
        <f>SUM(D391-E416)</f>
        <v>28443.636363636411</v>
      </c>
      <c r="F417" s="510"/>
    </row>
    <row r="418" spans="2:6" s="462" customFormat="1" ht="18" customHeight="1">
      <c r="B418" s="493"/>
      <c r="C418" s="463" t="s">
        <v>489</v>
      </c>
      <c r="D418" s="448"/>
      <c r="E418" s="463">
        <f>SUM(E416:E417)</f>
        <v>312880</v>
      </c>
      <c r="F418" s="510"/>
    </row>
    <row r="419" spans="2:6" s="462" customFormat="1" ht="18" customHeight="1">
      <c r="B419" s="493"/>
      <c r="D419" s="517"/>
      <c r="F419" s="510"/>
    </row>
    <row r="420" spans="2:6" s="462" customFormat="1" ht="18" customHeight="1">
      <c r="B420" s="493"/>
      <c r="D420" s="517"/>
      <c r="F420" s="510"/>
    </row>
    <row r="421" spans="2:6" s="462" customFormat="1" ht="18" customHeight="1">
      <c r="B421" s="493"/>
      <c r="C421" s="509"/>
      <c r="D421" s="517"/>
      <c r="F421" s="510"/>
    </row>
    <row r="422" spans="2:6" s="462" customFormat="1" ht="18" customHeight="1">
      <c r="B422" s="493"/>
      <c r="C422" s="463"/>
      <c r="D422" s="448"/>
      <c r="E422" s="463"/>
      <c r="F422" s="510"/>
    </row>
    <row r="423" spans="2:6" s="462" customFormat="1" ht="18" customHeight="1">
      <c r="B423" s="493"/>
      <c r="C423" s="463"/>
      <c r="D423" s="448"/>
      <c r="E423" s="463"/>
      <c r="F423" s="510"/>
    </row>
    <row r="424" spans="2:6" s="462" customFormat="1" ht="18" customHeight="1">
      <c r="B424" s="491"/>
      <c r="C424" s="449"/>
      <c r="D424" s="450"/>
      <c r="E424" s="449"/>
      <c r="F424" s="453"/>
    </row>
    <row r="425" spans="2:6" s="462" customFormat="1" ht="18" customHeight="1">
      <c r="B425" s="491"/>
      <c r="C425" s="449"/>
      <c r="D425" s="450"/>
      <c r="E425" s="449"/>
      <c r="F425" s="453"/>
    </row>
    <row r="426" spans="2:6" s="462" customFormat="1" ht="18" customHeight="1">
      <c r="B426" s="491"/>
      <c r="C426" s="449"/>
      <c r="D426" s="450"/>
      <c r="E426" s="449"/>
      <c r="F426" s="453"/>
    </row>
    <row r="427" spans="2:6" s="462" customFormat="1" ht="18" customHeight="1">
      <c r="B427" s="491"/>
      <c r="C427" s="449"/>
      <c r="D427" s="450"/>
      <c r="E427" s="449"/>
      <c r="F427" s="453"/>
    </row>
    <row r="428" spans="2:6" s="462" customFormat="1" ht="18" customHeight="1">
      <c r="B428" s="491"/>
      <c r="C428" s="449"/>
      <c r="D428" s="450"/>
      <c r="E428" s="449"/>
      <c r="F428" s="453"/>
    </row>
    <row r="429" spans="2:6" s="462" customFormat="1" ht="18" customHeight="1">
      <c r="B429" s="491"/>
      <c r="C429" s="449"/>
      <c r="D429" s="450"/>
      <c r="E429" s="449"/>
      <c r="F429" s="453"/>
    </row>
    <row r="430" spans="2:6" ht="18" customHeight="1">
      <c r="B430" s="491"/>
      <c r="F430" s="453"/>
    </row>
    <row r="431" spans="2:6" ht="18" customHeight="1">
      <c r="B431" s="491"/>
      <c r="F431" s="453"/>
    </row>
    <row r="432" spans="2:6" ht="18" customHeight="1">
      <c r="B432" s="491"/>
      <c r="F432" s="453"/>
    </row>
    <row r="433" spans="2:6" ht="18" customHeight="1">
      <c r="B433" s="491"/>
      <c r="F433" s="453"/>
    </row>
    <row r="434" spans="2:6" ht="18" customHeight="1">
      <c r="B434" s="491"/>
      <c r="F434" s="453"/>
    </row>
    <row r="435" spans="2:6" ht="18" customHeight="1">
      <c r="B435" s="491"/>
      <c r="F435" s="453"/>
    </row>
    <row r="436" spans="2:6" ht="18" customHeight="1" thickBot="1">
      <c r="B436" s="519"/>
      <c r="C436" s="520"/>
      <c r="D436" s="521"/>
      <c r="E436" s="520"/>
      <c r="F436" s="522"/>
    </row>
  </sheetData>
  <sheetProtection insertRows="0" deleteRows="0" selectLockedCells="1"/>
  <mergeCells count="438">
    <mergeCell ref="B339:C339"/>
    <mergeCell ref="B239:C239"/>
    <mergeCell ref="B231:C231"/>
    <mergeCell ref="B218:C218"/>
    <mergeCell ref="B223:C223"/>
    <mergeCell ref="B222:C222"/>
    <mergeCell ref="B275:C275"/>
    <mergeCell ref="B279:C279"/>
    <mergeCell ref="B278:C278"/>
    <mergeCell ref="B247:C247"/>
    <mergeCell ref="B272:C272"/>
    <mergeCell ref="B265:C265"/>
    <mergeCell ref="B266:C266"/>
    <mergeCell ref="B267:C267"/>
    <mergeCell ref="B269:C269"/>
    <mergeCell ref="B234:C234"/>
    <mergeCell ref="B274:C274"/>
    <mergeCell ref="B236:C236"/>
    <mergeCell ref="B237:C237"/>
    <mergeCell ref="B238:C238"/>
    <mergeCell ref="B248:C248"/>
    <mergeCell ref="B245:C245"/>
    <mergeCell ref="B240:C240"/>
    <mergeCell ref="B249:C249"/>
    <mergeCell ref="D154:F154"/>
    <mergeCell ref="B155:C155"/>
    <mergeCell ref="D155:F155"/>
    <mergeCell ref="D160:F160"/>
    <mergeCell ref="B161:C161"/>
    <mergeCell ref="D161:F161"/>
    <mergeCell ref="B162:C162"/>
    <mergeCell ref="D162:F162"/>
    <mergeCell ref="D156:F156"/>
    <mergeCell ref="B157:C157"/>
    <mergeCell ref="D157:F157"/>
    <mergeCell ref="B158:C158"/>
    <mergeCell ref="D158:F158"/>
    <mergeCell ref="D159:F159"/>
    <mergeCell ref="B160:C160"/>
    <mergeCell ref="D62:F62"/>
    <mergeCell ref="B58:C58"/>
    <mergeCell ref="D58:F58"/>
    <mergeCell ref="B59:C59"/>
    <mergeCell ref="D59:F59"/>
    <mergeCell ref="D60:F60"/>
    <mergeCell ref="B61:C61"/>
    <mergeCell ref="D61:F61"/>
    <mergeCell ref="D66:F66"/>
    <mergeCell ref="B62:C62"/>
    <mergeCell ref="D67:F67"/>
    <mergeCell ref="B68:C68"/>
    <mergeCell ref="D68:F68"/>
    <mergeCell ref="B63:C63"/>
    <mergeCell ref="D63:F63"/>
    <mergeCell ref="B64:C64"/>
    <mergeCell ref="D64:F64"/>
    <mergeCell ref="B65:C65"/>
    <mergeCell ref="D65:F65"/>
    <mergeCell ref="B67:C67"/>
    <mergeCell ref="B45:C45"/>
    <mergeCell ref="C46:F46"/>
    <mergeCell ref="B47:F47"/>
    <mergeCell ref="B48:F48"/>
    <mergeCell ref="B49:F49"/>
    <mergeCell ref="C50:F50"/>
    <mergeCell ref="B56:C56"/>
    <mergeCell ref="D56:F56"/>
    <mergeCell ref="B57:C57"/>
    <mergeCell ref="D57:F57"/>
    <mergeCell ref="B52:F52"/>
    <mergeCell ref="D53:F53"/>
    <mergeCell ref="B54:C54"/>
    <mergeCell ref="D54:F54"/>
    <mergeCell ref="B55:C55"/>
    <mergeCell ref="D55:F55"/>
    <mergeCell ref="D69:F69"/>
    <mergeCell ref="D70:F70"/>
    <mergeCell ref="B71:C71"/>
    <mergeCell ref="D71:F71"/>
    <mergeCell ref="D72:F72"/>
    <mergeCell ref="D80:F80"/>
    <mergeCell ref="D81:F81"/>
    <mergeCell ref="B82:C82"/>
    <mergeCell ref="D82:F82"/>
    <mergeCell ref="D73:F73"/>
    <mergeCell ref="B74:C74"/>
    <mergeCell ref="D74:F74"/>
    <mergeCell ref="B75:C75"/>
    <mergeCell ref="D75:F75"/>
    <mergeCell ref="B69:C69"/>
    <mergeCell ref="B73:C73"/>
    <mergeCell ref="B80:C80"/>
    <mergeCell ref="D83:F83"/>
    <mergeCell ref="D76:F76"/>
    <mergeCell ref="B77:C77"/>
    <mergeCell ref="D77:F77"/>
    <mergeCell ref="D78:F78"/>
    <mergeCell ref="B79:C79"/>
    <mergeCell ref="D79:F79"/>
    <mergeCell ref="D88:F88"/>
    <mergeCell ref="B89:C89"/>
    <mergeCell ref="D89:F89"/>
    <mergeCell ref="B83:C83"/>
    <mergeCell ref="D90:F90"/>
    <mergeCell ref="B91:C91"/>
    <mergeCell ref="D91:F91"/>
    <mergeCell ref="B84:C84"/>
    <mergeCell ref="D84:F84"/>
    <mergeCell ref="D85:F85"/>
    <mergeCell ref="B86:C86"/>
    <mergeCell ref="D86:F86"/>
    <mergeCell ref="B87:C87"/>
    <mergeCell ref="D87:F87"/>
    <mergeCell ref="B90:C90"/>
    <mergeCell ref="D96:F96"/>
    <mergeCell ref="B97:C97"/>
    <mergeCell ref="D97:F97"/>
    <mergeCell ref="B98:C98"/>
    <mergeCell ref="D98:F98"/>
    <mergeCell ref="B99:C99"/>
    <mergeCell ref="D99:F99"/>
    <mergeCell ref="D92:F92"/>
    <mergeCell ref="B93:C93"/>
    <mergeCell ref="D93:F93"/>
    <mergeCell ref="B94:C94"/>
    <mergeCell ref="D94:F94"/>
    <mergeCell ref="B95:C95"/>
    <mergeCell ref="D95:F95"/>
    <mergeCell ref="D104:F104"/>
    <mergeCell ref="D105:F105"/>
    <mergeCell ref="B106:C106"/>
    <mergeCell ref="D106:F106"/>
    <mergeCell ref="B107:C107"/>
    <mergeCell ref="D107:F107"/>
    <mergeCell ref="B100:C100"/>
    <mergeCell ref="D100:F100"/>
    <mergeCell ref="D101:F101"/>
    <mergeCell ref="B102:C102"/>
    <mergeCell ref="D102:F102"/>
    <mergeCell ref="B103:C103"/>
    <mergeCell ref="D103:F103"/>
    <mergeCell ref="B104:C104"/>
    <mergeCell ref="D112:F112"/>
    <mergeCell ref="B113:C113"/>
    <mergeCell ref="D113:F113"/>
    <mergeCell ref="B114:C114"/>
    <mergeCell ref="D114:F114"/>
    <mergeCell ref="B108:C108"/>
    <mergeCell ref="D108:F108"/>
    <mergeCell ref="B109:C109"/>
    <mergeCell ref="D109:F109"/>
    <mergeCell ref="D110:F110"/>
    <mergeCell ref="B111:C111"/>
    <mergeCell ref="D111:F111"/>
    <mergeCell ref="B112:C112"/>
    <mergeCell ref="D118:F118"/>
    <mergeCell ref="B119:C119"/>
    <mergeCell ref="D119:F119"/>
    <mergeCell ref="B120:C120"/>
    <mergeCell ref="D120:F120"/>
    <mergeCell ref="B115:C115"/>
    <mergeCell ref="D115:F115"/>
    <mergeCell ref="B116:C116"/>
    <mergeCell ref="D116:F116"/>
    <mergeCell ref="B117:C117"/>
    <mergeCell ref="D117:F117"/>
    <mergeCell ref="B118:C118"/>
    <mergeCell ref="D125:F125"/>
    <mergeCell ref="B126:C126"/>
    <mergeCell ref="D126:F126"/>
    <mergeCell ref="B127:C127"/>
    <mergeCell ref="D127:F127"/>
    <mergeCell ref="D121:F121"/>
    <mergeCell ref="B122:C122"/>
    <mergeCell ref="D122:F122"/>
    <mergeCell ref="B123:C123"/>
    <mergeCell ref="D123:F123"/>
    <mergeCell ref="B124:C124"/>
    <mergeCell ref="D124:F124"/>
    <mergeCell ref="B125:C125"/>
    <mergeCell ref="D131:F131"/>
    <mergeCell ref="D132:F132"/>
    <mergeCell ref="B133:C133"/>
    <mergeCell ref="D133:F133"/>
    <mergeCell ref="D134:F134"/>
    <mergeCell ref="B128:C128"/>
    <mergeCell ref="D128:F128"/>
    <mergeCell ref="B129:C129"/>
    <mergeCell ref="D129:F129"/>
    <mergeCell ref="B130:C130"/>
    <mergeCell ref="D130:F130"/>
    <mergeCell ref="B131:C131"/>
    <mergeCell ref="D138:F138"/>
    <mergeCell ref="D139:F139"/>
    <mergeCell ref="B140:C140"/>
    <mergeCell ref="D140:F140"/>
    <mergeCell ref="B141:C141"/>
    <mergeCell ref="D141:F141"/>
    <mergeCell ref="B135:C135"/>
    <mergeCell ref="D135:F135"/>
    <mergeCell ref="B136:C136"/>
    <mergeCell ref="D136:F136"/>
    <mergeCell ref="B137:C137"/>
    <mergeCell ref="D137:F137"/>
    <mergeCell ref="B138:C138"/>
    <mergeCell ref="B142:C142"/>
    <mergeCell ref="D142:F142"/>
    <mergeCell ref="B143:C143"/>
    <mergeCell ref="D143:F143"/>
    <mergeCell ref="D144:F144"/>
    <mergeCell ref="B145:C145"/>
    <mergeCell ref="D145:F145"/>
    <mergeCell ref="D152:F152"/>
    <mergeCell ref="B153:C153"/>
    <mergeCell ref="D153:F153"/>
    <mergeCell ref="B149:C149"/>
    <mergeCell ref="D149:F149"/>
    <mergeCell ref="B150:C150"/>
    <mergeCell ref="D150:F150"/>
    <mergeCell ref="B151:C151"/>
    <mergeCell ref="D151:F151"/>
    <mergeCell ref="B146:C146"/>
    <mergeCell ref="B152:C152"/>
    <mergeCell ref="D146:F146"/>
    <mergeCell ref="B147:C147"/>
    <mergeCell ref="D147:F147"/>
    <mergeCell ref="B148:C148"/>
    <mergeCell ref="D148:F148"/>
    <mergeCell ref="D167:F167"/>
    <mergeCell ref="B168:C168"/>
    <mergeCell ref="D168:F168"/>
    <mergeCell ref="D169:F169"/>
    <mergeCell ref="B170:C170"/>
    <mergeCell ref="D170:F170"/>
    <mergeCell ref="B163:C163"/>
    <mergeCell ref="D163:F163"/>
    <mergeCell ref="B164:C164"/>
    <mergeCell ref="D164:F164"/>
    <mergeCell ref="D165:F165"/>
    <mergeCell ref="B166:C166"/>
    <mergeCell ref="D166:F166"/>
    <mergeCell ref="B167:C167"/>
    <mergeCell ref="D175:F175"/>
    <mergeCell ref="B176:C176"/>
    <mergeCell ref="B179:C179"/>
    <mergeCell ref="D180:F180"/>
    <mergeCell ref="C181:F181"/>
    <mergeCell ref="D171:F171"/>
    <mergeCell ref="B172:C172"/>
    <mergeCell ref="D172:F172"/>
    <mergeCell ref="D173:F173"/>
    <mergeCell ref="B174:C174"/>
    <mergeCell ref="D174:F174"/>
    <mergeCell ref="B175:C175"/>
    <mergeCell ref="B203:C203"/>
    <mergeCell ref="B193:C193"/>
    <mergeCell ref="B194:F194"/>
    <mergeCell ref="B184:F184"/>
    <mergeCell ref="B185:C185"/>
    <mergeCell ref="B186:C186"/>
    <mergeCell ref="B187:C187"/>
    <mergeCell ref="B188:C188"/>
    <mergeCell ref="B189:C189"/>
    <mergeCell ref="B195:C195"/>
    <mergeCell ref="B200:F200"/>
    <mergeCell ref="B201:F201"/>
    <mergeCell ref="B196:F196"/>
    <mergeCell ref="B199:C199"/>
    <mergeCell ref="B197:C197"/>
    <mergeCell ref="B198:C198"/>
    <mergeCell ref="B202:C202"/>
    <mergeCell ref="B190:C190"/>
    <mergeCell ref="B191:C191"/>
    <mergeCell ref="B192:F192"/>
    <mergeCell ref="B250:C250"/>
    <mergeCell ref="B226:C226"/>
    <mergeCell ref="B227:C227"/>
    <mergeCell ref="B241:C241"/>
    <mergeCell ref="B205:C205"/>
    <mergeCell ref="B221:C221"/>
    <mergeCell ref="B210:F210"/>
    <mergeCell ref="B211:C211"/>
    <mergeCell ref="B212:C212"/>
    <mergeCell ref="B213:F213"/>
    <mergeCell ref="B214:C214"/>
    <mergeCell ref="B215:F215"/>
    <mergeCell ref="B220:C220"/>
    <mergeCell ref="B216:C216"/>
    <mergeCell ref="B217:C217"/>
    <mergeCell ref="B219:C219"/>
    <mergeCell ref="B206:C206"/>
    <mergeCell ref="B207:C207"/>
    <mergeCell ref="B208:C208"/>
    <mergeCell ref="B209:C209"/>
    <mergeCell ref="B356:C356"/>
    <mergeCell ref="B357:C357"/>
    <mergeCell ref="B358:F358"/>
    <mergeCell ref="B385:F385"/>
    <mergeCell ref="B224:C224"/>
    <mergeCell ref="B254:F254"/>
    <mergeCell ref="B255:C255"/>
    <mergeCell ref="B256:C256"/>
    <mergeCell ref="B258:F258"/>
    <mergeCell ref="B259:C259"/>
    <mergeCell ref="B264:C264"/>
    <mergeCell ref="B263:C263"/>
    <mergeCell ref="B230:C230"/>
    <mergeCell ref="B228:C228"/>
    <mergeCell ref="B262:C262"/>
    <mergeCell ref="B225:C225"/>
    <mergeCell ref="B244:F244"/>
    <mergeCell ref="B253:C253"/>
    <mergeCell ref="B246:C246"/>
    <mergeCell ref="B229:C229"/>
    <mergeCell ref="B235:C235"/>
    <mergeCell ref="B232:C232"/>
    <mergeCell ref="B233:C233"/>
    <mergeCell ref="B261:C261"/>
    <mergeCell ref="B268:C268"/>
    <mergeCell ref="B257:C257"/>
    <mergeCell ref="B260:C260"/>
    <mergeCell ref="B243:C243"/>
    <mergeCell ref="B374:C374"/>
    <mergeCell ref="B377:C377"/>
    <mergeCell ref="B327:C327"/>
    <mergeCell ref="B329:C329"/>
    <mergeCell ref="B330:C330"/>
    <mergeCell ref="B338:C338"/>
    <mergeCell ref="B341:C341"/>
    <mergeCell ref="B332:F332"/>
    <mergeCell ref="B333:C333"/>
    <mergeCell ref="B334:C334"/>
    <mergeCell ref="B336:F336"/>
    <mergeCell ref="B331:C331"/>
    <mergeCell ref="B335:C335"/>
    <mergeCell ref="B337:C337"/>
    <mergeCell ref="B313:C313"/>
    <mergeCell ref="B347:C347"/>
    <mergeCell ref="B353:C353"/>
    <mergeCell ref="B367:C367"/>
    <mergeCell ref="B371:F371"/>
    <mergeCell ref="B361:C361"/>
    <mergeCell ref="B322:C322"/>
    <mergeCell ref="B312:C312"/>
    <mergeCell ref="B310:C310"/>
    <mergeCell ref="B372:C372"/>
    <mergeCell ref="B373:F373"/>
    <mergeCell ref="B388:F388"/>
    <mergeCell ref="B389:C389"/>
    <mergeCell ref="B384:C384"/>
    <mergeCell ref="B352:C352"/>
    <mergeCell ref="B387:F387"/>
    <mergeCell ref="B362:C362"/>
    <mergeCell ref="B363:C363"/>
    <mergeCell ref="B364:C364"/>
    <mergeCell ref="B365:C365"/>
    <mergeCell ref="B366:C366"/>
    <mergeCell ref="B375:F375"/>
    <mergeCell ref="B369:C369"/>
    <mergeCell ref="B368:C368"/>
    <mergeCell ref="B383:C383"/>
    <mergeCell ref="B376:C376"/>
    <mergeCell ref="B350:C350"/>
    <mergeCell ref="B380:C380"/>
    <mergeCell ref="B381:C381"/>
    <mergeCell ref="B355:F355"/>
    <mergeCell ref="B251:C251"/>
    <mergeCell ref="B252:C252"/>
    <mergeCell ref="B270:C270"/>
    <mergeCell ref="B271:C271"/>
    <mergeCell ref="B273:C273"/>
    <mergeCell ref="B393:C393"/>
    <mergeCell ref="B390:C390"/>
    <mergeCell ref="B276:C276"/>
    <mergeCell ref="B379:C379"/>
    <mergeCell ref="B324:C324"/>
    <mergeCell ref="B319:C319"/>
    <mergeCell ref="B320:C320"/>
    <mergeCell ref="B321:C321"/>
    <mergeCell ref="B326:C326"/>
    <mergeCell ref="B325:C325"/>
    <mergeCell ref="B323:C323"/>
    <mergeCell ref="B314:F314"/>
    <mergeCell ref="B315:C315"/>
    <mergeCell ref="B342:C342"/>
    <mergeCell ref="B340:C340"/>
    <mergeCell ref="D391:F391"/>
    <mergeCell ref="B382:F382"/>
    <mergeCell ref="B343:F343"/>
    <mergeCell ref="B344:C344"/>
    <mergeCell ref="B378:F378"/>
    <mergeCell ref="B328:C328"/>
    <mergeCell ref="B311:C311"/>
    <mergeCell ref="B316:C316"/>
    <mergeCell ref="B318:C318"/>
    <mergeCell ref="B370:C370"/>
    <mergeCell ref="B242:C242"/>
    <mergeCell ref="B301:C301"/>
    <mergeCell ref="B281:C281"/>
    <mergeCell ref="B302:C302"/>
    <mergeCell ref="B299:C299"/>
    <mergeCell ref="B304:C304"/>
    <mergeCell ref="B305:C305"/>
    <mergeCell ref="B303:C303"/>
    <mergeCell ref="B283:C283"/>
    <mergeCell ref="B287:C287"/>
    <mergeCell ref="B291:C291"/>
    <mergeCell ref="B289:C289"/>
    <mergeCell ref="B292:C292"/>
    <mergeCell ref="B286:C286"/>
    <mergeCell ref="B298:C298"/>
    <mergeCell ref="B285:C285"/>
    <mergeCell ref="B296:C296"/>
    <mergeCell ref="B297:C297"/>
    <mergeCell ref="B204:C204"/>
    <mergeCell ref="B345:C345"/>
    <mergeCell ref="B351:C351"/>
    <mergeCell ref="B359:C359"/>
    <mergeCell ref="B360:C360"/>
    <mergeCell ref="B306:C306"/>
    <mergeCell ref="B280:F280"/>
    <mergeCell ref="B294:C294"/>
    <mergeCell ref="B295:F295"/>
    <mergeCell ref="B309:C309"/>
    <mergeCell ref="B288:C288"/>
    <mergeCell ref="B284:C284"/>
    <mergeCell ref="B307:C307"/>
    <mergeCell ref="B308:C308"/>
    <mergeCell ref="B293:C293"/>
    <mergeCell ref="B282:C282"/>
    <mergeCell ref="B277:C277"/>
    <mergeCell ref="B300:C300"/>
    <mergeCell ref="B354:C354"/>
    <mergeCell ref="B317:C317"/>
    <mergeCell ref="B348:C348"/>
    <mergeCell ref="B349:C349"/>
    <mergeCell ref="B346:C346"/>
    <mergeCell ref="B290:C290"/>
  </mergeCells>
  <hyperlinks>
    <hyperlink ref="H268" r:id="rId1" xr:uid="{12CAE71C-F1C0-4160-95E0-6681D79F1D0C}"/>
  </hyperlinks>
  <pageMargins left="0.7" right="0.7" top="0.75" bottom="0.75" header="0.3" footer="0.3"/>
  <pageSetup paperSize="9" scale="92" orientation="portrait" r:id="rId2"/>
  <rowBreaks count="11" manualBreakCount="11">
    <brk id="42" min="1" max="5" man="1"/>
    <brk id="80" min="1" max="5" man="1"/>
    <brk id="113" min="1" max="5" man="1"/>
    <brk id="148" min="1" max="5" man="1"/>
    <brk id="175" min="1" max="5" man="1"/>
    <brk id="214" min="1" max="5" man="1"/>
    <brk id="253" min="1" max="5" man="1"/>
    <brk id="294" min="1" max="5" man="1"/>
    <brk id="335" min="1" max="5" man="1"/>
    <brk id="377" min="1" max="5" man="1"/>
    <brk id="394" min="1" max="5" man="1"/>
  </rowBreaks>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44802-2336-4DAA-BEEC-540CD5DE0399}">
  <dimension ref="B1:R148"/>
  <sheetViews>
    <sheetView topLeftCell="A59" workbookViewId="0">
      <selection activeCell="B58" sqref="B58:C58"/>
    </sheetView>
  </sheetViews>
  <sheetFormatPr defaultColWidth="9.140625" defaultRowHeight="18" customHeight="1"/>
  <cols>
    <col min="1" max="1" width="9.140625" style="449"/>
    <col min="2" max="2" width="15" style="449" customWidth="1"/>
    <col min="3" max="3" width="50.7109375" style="449" customWidth="1"/>
    <col min="4" max="4" width="9.5703125" style="450" customWidth="1"/>
    <col min="5" max="6" width="9.5703125" style="449" customWidth="1"/>
    <col min="7" max="7" width="9.140625" style="449"/>
    <col min="8" max="8" width="62.7109375" style="449" customWidth="1"/>
    <col min="9" max="9" width="12.7109375" style="449" customWidth="1"/>
    <col min="10" max="16384" width="9.140625" style="449"/>
  </cols>
  <sheetData>
    <row r="1" spans="2:18" ht="18" customHeight="1">
      <c r="B1" s="464"/>
      <c r="C1" s="464"/>
      <c r="D1" s="449"/>
      <c r="I1" s="450"/>
    </row>
    <row r="2" spans="2:18" ht="24.95" customHeight="1" thickBot="1">
      <c r="B2" s="696" t="s">
        <v>1466</v>
      </c>
      <c r="C2" s="696"/>
      <c r="D2" s="469"/>
      <c r="E2" s="469"/>
      <c r="F2" s="469"/>
      <c r="H2" s="462"/>
      <c r="I2" s="450"/>
    </row>
    <row r="3" spans="2:18" ht="18" customHeight="1">
      <c r="B3" s="165" t="s">
        <v>436</v>
      </c>
      <c r="C3" s="471" t="s">
        <v>1467</v>
      </c>
      <c r="D3" s="786" t="s">
        <v>1468</v>
      </c>
      <c r="E3" s="713"/>
      <c r="F3" s="714"/>
      <c r="H3" s="462"/>
      <c r="I3" s="450"/>
      <c r="J3" s="547"/>
      <c r="L3" s="547"/>
      <c r="M3" s="547"/>
      <c r="N3" s="547"/>
      <c r="O3" s="547"/>
      <c r="P3" s="547"/>
      <c r="Q3" s="547"/>
      <c r="R3" s="548"/>
    </row>
    <row r="4" spans="2:18" ht="18" customHeight="1">
      <c r="B4" s="476" t="s">
        <v>305</v>
      </c>
      <c r="C4" s="700" t="s">
        <v>1469</v>
      </c>
      <c r="D4" s="700"/>
      <c r="E4" s="700"/>
      <c r="F4" s="701"/>
      <c r="H4" s="461"/>
      <c r="I4" s="549"/>
      <c r="J4" s="547"/>
      <c r="K4" s="461"/>
      <c r="L4" s="550"/>
      <c r="M4" s="550"/>
      <c r="N4" s="550"/>
      <c r="O4" s="550"/>
      <c r="P4" s="550"/>
      <c r="Q4" s="550"/>
      <c r="R4" s="551"/>
    </row>
    <row r="5" spans="2:18" ht="18" customHeight="1">
      <c r="B5" s="482"/>
      <c r="C5" s="483"/>
      <c r="D5" s="484" t="s">
        <v>441</v>
      </c>
      <c r="E5" s="484" t="s">
        <v>442</v>
      </c>
      <c r="F5" s="485" t="s">
        <v>443</v>
      </c>
      <c r="H5" s="462"/>
      <c r="I5" s="450"/>
      <c r="J5" s="547"/>
      <c r="K5" s="461"/>
      <c r="L5" s="550"/>
      <c r="M5" s="550"/>
      <c r="N5" s="550"/>
      <c r="O5" s="550"/>
      <c r="P5" s="550"/>
      <c r="Q5" s="550"/>
      <c r="R5" s="551"/>
    </row>
    <row r="6" spans="2:18" ht="18" customHeight="1">
      <c r="B6" s="661" t="s">
        <v>1470</v>
      </c>
      <c r="C6" s="662"/>
      <c r="D6" s="662"/>
      <c r="E6" s="662"/>
      <c r="F6" s="663"/>
      <c r="H6" s="458"/>
      <c r="I6" s="459"/>
      <c r="J6" s="459"/>
    </row>
    <row r="7" spans="2:18" ht="18" customHeight="1">
      <c r="B7" s="687" t="s">
        <v>1471</v>
      </c>
      <c r="C7" s="688"/>
      <c r="D7" s="209">
        <f>+'1.HOUSE PRICE'!B87</f>
        <v>413150</v>
      </c>
      <c r="E7" s="204"/>
      <c r="F7" s="487">
        <f t="shared" ref="F7:F10" si="0">SUM(E7-D7)</f>
        <v>-413150</v>
      </c>
    </row>
    <row r="8" spans="2:18" ht="18" customHeight="1">
      <c r="B8" s="687" t="s">
        <v>1472</v>
      </c>
      <c r="C8" s="688"/>
      <c r="D8" s="209">
        <f>+'1.HOUSE PRICE'!D87</f>
        <v>10300</v>
      </c>
      <c r="E8" s="204"/>
      <c r="F8" s="487">
        <f t="shared" si="0"/>
        <v>-10300</v>
      </c>
      <c r="H8" s="463"/>
      <c r="I8" s="463"/>
    </row>
    <row r="9" spans="2:18" ht="18" customHeight="1">
      <c r="B9" s="687" t="s">
        <v>1473</v>
      </c>
      <c r="C9" s="688"/>
      <c r="D9" s="209">
        <f>+'1.HOUSE PRICE'!E87</f>
        <v>5940</v>
      </c>
      <c r="E9" s="204"/>
      <c r="F9" s="487">
        <f t="shared" si="0"/>
        <v>-5940</v>
      </c>
      <c r="G9" s="461"/>
    </row>
    <row r="10" spans="2:18" ht="18" customHeight="1">
      <c r="B10" s="781" t="s">
        <v>173</v>
      </c>
      <c r="C10" s="782"/>
      <c r="D10" s="552">
        <f>SUM(D7:D9)</f>
        <v>429390</v>
      </c>
      <c r="E10" s="553"/>
      <c r="F10" s="554">
        <f t="shared" si="0"/>
        <v>-429390</v>
      </c>
    </row>
    <row r="11" spans="2:18" ht="18" customHeight="1">
      <c r="B11" s="783"/>
      <c r="C11" s="784"/>
      <c r="D11" s="784"/>
      <c r="E11" s="784"/>
      <c r="F11" s="785"/>
    </row>
    <row r="12" spans="2:18" ht="18" customHeight="1">
      <c r="B12" s="661" t="s">
        <v>1474</v>
      </c>
      <c r="C12" s="662"/>
      <c r="D12" s="662"/>
      <c r="E12" s="662"/>
      <c r="F12" s="663"/>
    </row>
    <row r="13" spans="2:18" ht="18" customHeight="1">
      <c r="B13" s="687" t="s">
        <v>1475</v>
      </c>
      <c r="C13" s="688"/>
      <c r="D13" s="209" t="s">
        <v>1476</v>
      </c>
      <c r="E13" s="204"/>
      <c r="F13" s="487">
        <v>0</v>
      </c>
    </row>
    <row r="14" spans="2:18" ht="18" customHeight="1">
      <c r="B14" s="661" t="s">
        <v>1477</v>
      </c>
      <c r="C14" s="662"/>
      <c r="D14" s="662"/>
      <c r="E14" s="662"/>
      <c r="F14" s="663"/>
    </row>
    <row r="15" spans="2:18" ht="18" customHeight="1">
      <c r="B15" s="687" t="s">
        <v>1428</v>
      </c>
      <c r="C15" s="688"/>
      <c r="D15" s="209" t="s">
        <v>309</v>
      </c>
      <c r="E15" s="204"/>
      <c r="F15" s="487">
        <v>0</v>
      </c>
    </row>
    <row r="16" spans="2:18" ht="18" customHeight="1">
      <c r="B16" s="777" t="s">
        <v>1478</v>
      </c>
      <c r="C16" s="778"/>
      <c r="D16" s="209">
        <v>4500</v>
      </c>
      <c r="E16" s="204"/>
      <c r="F16" s="487">
        <f>SUM(E16-D16)</f>
        <v>-4500</v>
      </c>
      <c r="H16" s="449" t="s">
        <v>1479</v>
      </c>
    </row>
    <row r="17" spans="2:8" ht="18" customHeight="1">
      <c r="B17" s="687" t="s">
        <v>1480</v>
      </c>
      <c r="C17" s="688"/>
      <c r="D17" s="209">
        <v>10800</v>
      </c>
      <c r="E17" s="204"/>
      <c r="F17" s="487">
        <f>SUM(E17-D17)</f>
        <v>-10800</v>
      </c>
    </row>
    <row r="18" spans="2:8" ht="18" customHeight="1">
      <c r="B18" s="689" t="s">
        <v>460</v>
      </c>
      <c r="C18" s="690"/>
      <c r="D18" s="690"/>
      <c r="E18" s="690"/>
      <c r="F18" s="691"/>
    </row>
    <row r="19" spans="2:8" ht="18" customHeight="1">
      <c r="B19" s="661" t="s">
        <v>334</v>
      </c>
      <c r="C19" s="662"/>
      <c r="D19" s="662"/>
      <c r="E19" s="662"/>
      <c r="F19" s="663"/>
    </row>
    <row r="20" spans="2:8" ht="18" customHeight="1">
      <c r="B20" s="687" t="s">
        <v>1481</v>
      </c>
      <c r="C20" s="779"/>
      <c r="D20" s="209">
        <f>CEILING((252.89+49.98)*'House extension'!D20,5)</f>
        <v>5755</v>
      </c>
      <c r="E20" s="204"/>
      <c r="F20" s="487">
        <f>SUM(E20-D20)</f>
        <v>-5755</v>
      </c>
    </row>
    <row r="21" spans="2:8" s="462" customFormat="1" ht="28.9" customHeight="1">
      <c r="B21" s="687" t="s">
        <v>1482</v>
      </c>
      <c r="C21" s="779"/>
      <c r="D21" s="209">
        <v>23500</v>
      </c>
      <c r="E21" s="204"/>
      <c r="F21" s="487">
        <f>SUM(E21-D21)</f>
        <v>-23500</v>
      </c>
    </row>
    <row r="22" spans="2:8" s="462" customFormat="1" ht="18" customHeight="1">
      <c r="B22" s="661" t="s">
        <v>461</v>
      </c>
      <c r="C22" s="662"/>
      <c r="D22" s="662"/>
      <c r="E22" s="662"/>
      <c r="F22" s="663"/>
    </row>
    <row r="23" spans="2:8" ht="18" customHeight="1">
      <c r="B23" s="687" t="s">
        <v>1483</v>
      </c>
      <c r="C23" s="779"/>
      <c r="D23" s="209">
        <f>+Lifestyle!BL95*'House extension'!D17</f>
        <v>6460</v>
      </c>
      <c r="E23" s="204"/>
      <c r="F23" s="487">
        <f>SUM(E23-D23)</f>
        <v>-6460</v>
      </c>
    </row>
    <row r="24" spans="2:8" ht="18" customHeight="1">
      <c r="B24" s="661" t="s">
        <v>1484</v>
      </c>
      <c r="C24" s="662"/>
      <c r="D24" s="662"/>
      <c r="E24" s="662"/>
      <c r="F24" s="663"/>
    </row>
    <row r="25" spans="2:8" ht="27.6" customHeight="1">
      <c r="B25" s="655" t="s">
        <v>1485</v>
      </c>
      <c r="C25" s="656"/>
      <c r="D25" s="209">
        <f>G142</f>
        <v>33665</v>
      </c>
      <c r="E25" s="204"/>
      <c r="F25" s="487">
        <f t="shared" ref="F25:F32" si="1">SUM(E25-D25)</f>
        <v>-33665</v>
      </c>
    </row>
    <row r="26" spans="2:8" ht="18" customHeight="1">
      <c r="B26" s="655" t="s">
        <v>1486</v>
      </c>
      <c r="C26" s="656"/>
      <c r="D26" s="209">
        <f>+CEILING(((12.46*'House extension'!D25)+(7.5*'House extension'!D26)+(9.5*'House extension'!D29)+'House extension'!D28+('House extension'!D14*1.5)),5)</f>
        <v>5495</v>
      </c>
      <c r="E26" s="204"/>
      <c r="F26" s="487">
        <f t="shared" si="1"/>
        <v>-5495</v>
      </c>
    </row>
    <row r="27" spans="2:8" ht="27.6" customHeight="1">
      <c r="B27" s="775" t="s">
        <v>1487</v>
      </c>
      <c r="C27" s="776"/>
      <c r="D27" s="209">
        <f>G147</f>
        <v>17300</v>
      </c>
      <c r="E27" s="204"/>
      <c r="F27" s="487">
        <f t="shared" si="1"/>
        <v>-17300</v>
      </c>
      <c r="H27" s="449" t="s">
        <v>1488</v>
      </c>
    </row>
    <row r="28" spans="2:8" ht="18" customHeight="1">
      <c r="B28" s="687" t="s">
        <v>1489</v>
      </c>
      <c r="C28" s="688"/>
      <c r="D28" s="209">
        <v>8500</v>
      </c>
      <c r="E28" s="204"/>
      <c r="F28" s="487">
        <f t="shared" si="1"/>
        <v>-8500</v>
      </c>
    </row>
    <row r="29" spans="2:8" ht="18" customHeight="1">
      <c r="B29" s="687" t="s">
        <v>1490</v>
      </c>
      <c r="C29" s="779"/>
      <c r="D29" s="209">
        <f>+CEILING((((17.5)*2.8*Facades!D13)+(4*Facades!D14)+(4*Facades!D15)+(4*Facades!D16)),5)</f>
        <v>6525</v>
      </c>
      <c r="E29" s="204"/>
      <c r="F29" s="487">
        <f t="shared" si="1"/>
        <v>-6525</v>
      </c>
    </row>
    <row r="30" spans="2:8" ht="26.45" customHeight="1">
      <c r="B30" s="777" t="s">
        <v>1491</v>
      </c>
      <c r="C30" s="780"/>
      <c r="D30" s="209">
        <f>+CEILING((((9)*2.8*Facades!D13)+(1*Facades!D14)+(2*Facades!D15)+(2*Facades!D16)),5)</f>
        <v>3125</v>
      </c>
      <c r="E30" s="204"/>
      <c r="F30" s="487">
        <f t="shared" si="1"/>
        <v>-3125</v>
      </c>
      <c r="H30" s="449" t="s">
        <v>1492</v>
      </c>
    </row>
    <row r="31" spans="2:8" ht="18" customHeight="1">
      <c r="B31" s="687" t="s">
        <v>1493</v>
      </c>
      <c r="C31" s="688"/>
      <c r="D31" s="209">
        <v>2910</v>
      </c>
      <c r="E31" s="204"/>
      <c r="F31" s="487">
        <f t="shared" si="1"/>
        <v>-2910</v>
      </c>
    </row>
    <row r="32" spans="2:8" ht="18" customHeight="1">
      <c r="B32" s="687" t="s">
        <v>1494</v>
      </c>
      <c r="C32" s="688"/>
      <c r="D32" s="209">
        <v>700</v>
      </c>
      <c r="E32" s="204"/>
      <c r="F32" s="487">
        <f t="shared" si="1"/>
        <v>-700</v>
      </c>
    </row>
    <row r="33" spans="2:8" ht="18" customHeight="1">
      <c r="B33" s="661" t="s">
        <v>462</v>
      </c>
      <c r="C33" s="662"/>
      <c r="D33" s="662"/>
      <c r="E33" s="662"/>
      <c r="F33" s="663"/>
    </row>
    <row r="34" spans="2:8" ht="18" customHeight="1">
      <c r="B34" s="655" t="s">
        <v>1495</v>
      </c>
      <c r="C34" s="656"/>
      <c r="D34" s="209">
        <f>+CEILING(((11.56*'House extension'!D6)+(3*'House extension'!D12)),5)</f>
        <v>6555</v>
      </c>
      <c r="E34" s="204"/>
      <c r="F34" s="487">
        <f t="shared" ref="F34:F44" si="2">SUM(E34-D34)</f>
        <v>-6555</v>
      </c>
    </row>
    <row r="35" spans="2:8" ht="18" customHeight="1">
      <c r="B35" s="655" t="s">
        <v>1496</v>
      </c>
      <c r="C35" s="656"/>
      <c r="D35" s="209">
        <v>310</v>
      </c>
      <c r="E35" s="204"/>
      <c r="F35" s="487">
        <f t="shared" si="2"/>
        <v>-310</v>
      </c>
    </row>
    <row r="36" spans="2:8" ht="18" customHeight="1">
      <c r="B36" s="655" t="s">
        <v>1497</v>
      </c>
      <c r="C36" s="656"/>
      <c r="D36" s="209">
        <v>3900</v>
      </c>
      <c r="E36" s="204"/>
      <c r="F36" s="487">
        <f t="shared" si="2"/>
        <v>-3900</v>
      </c>
    </row>
    <row r="37" spans="2:8" ht="18" customHeight="1">
      <c r="B37" s="775" t="s">
        <v>1498</v>
      </c>
      <c r="C37" s="776"/>
      <c r="D37" s="209">
        <v>4630</v>
      </c>
      <c r="E37" s="204"/>
      <c r="F37" s="487">
        <f t="shared" si="2"/>
        <v>-4630</v>
      </c>
      <c r="H37" s="449" t="s">
        <v>1499</v>
      </c>
    </row>
    <row r="38" spans="2:8" ht="18" customHeight="1">
      <c r="B38" s="655" t="s">
        <v>1500</v>
      </c>
      <c r="C38" s="656"/>
      <c r="D38" s="209">
        <v>7250</v>
      </c>
      <c r="E38" s="204"/>
      <c r="F38" s="487">
        <f t="shared" si="2"/>
        <v>-7250</v>
      </c>
    </row>
    <row r="39" spans="2:8" ht="18" customHeight="1">
      <c r="B39" s="655" t="s">
        <v>1501</v>
      </c>
      <c r="C39" s="656"/>
      <c r="D39" s="209">
        <f>14*Cabinetry!E19</f>
        <v>770</v>
      </c>
      <c r="E39" s="204"/>
      <c r="F39" s="487">
        <f t="shared" si="2"/>
        <v>-770</v>
      </c>
    </row>
    <row r="40" spans="2:8" ht="18" customHeight="1">
      <c r="B40" s="777" t="s">
        <v>1502</v>
      </c>
      <c r="C40" s="778"/>
      <c r="D40" s="209">
        <f>280*3+50*3+40*3+630*2+15+35*3+110*2+45*2</f>
        <v>2800</v>
      </c>
      <c r="E40" s="204"/>
      <c r="F40" s="487">
        <f t="shared" si="2"/>
        <v>-2800</v>
      </c>
      <c r="H40" s="449" t="s">
        <v>1503</v>
      </c>
    </row>
    <row r="41" spans="2:8" ht="18" customHeight="1">
      <c r="B41" s="687" t="s">
        <v>1504</v>
      </c>
      <c r="C41" s="688"/>
      <c r="D41" s="209">
        <v>200</v>
      </c>
      <c r="E41" s="204"/>
      <c r="F41" s="487">
        <f t="shared" si="2"/>
        <v>-200</v>
      </c>
    </row>
    <row r="42" spans="2:8" ht="18" customHeight="1">
      <c r="B42" s="687" t="s">
        <v>1505</v>
      </c>
      <c r="C42" s="688"/>
      <c r="D42" s="209">
        <f>123*'House extension'!D41</f>
        <v>1845</v>
      </c>
      <c r="E42" s="204"/>
      <c r="F42" s="487">
        <f t="shared" si="2"/>
        <v>-1845</v>
      </c>
    </row>
    <row r="43" spans="2:8" ht="18" customHeight="1">
      <c r="B43" s="687" t="s">
        <v>1506</v>
      </c>
      <c r="C43" s="688"/>
      <c r="D43" s="209">
        <v>2500</v>
      </c>
      <c r="E43" s="204"/>
      <c r="F43" s="487">
        <f t="shared" si="2"/>
        <v>-2500</v>
      </c>
    </row>
    <row r="44" spans="2:8" ht="18" customHeight="1">
      <c r="B44" s="777" t="s">
        <v>1507</v>
      </c>
      <c r="C44" s="778"/>
      <c r="D44" s="209">
        <v>8370</v>
      </c>
      <c r="E44" s="204"/>
      <c r="F44" s="487">
        <f t="shared" si="2"/>
        <v>-8370</v>
      </c>
      <c r="H44" s="449" t="s">
        <v>1508</v>
      </c>
    </row>
    <row r="45" spans="2:8" ht="18" customHeight="1">
      <c r="B45" s="661" t="s">
        <v>1509</v>
      </c>
      <c r="C45" s="662"/>
      <c r="D45" s="662"/>
      <c r="E45" s="662"/>
      <c r="F45" s="663"/>
    </row>
    <row r="46" spans="2:8" ht="18" customHeight="1">
      <c r="B46" s="655" t="s">
        <v>1510</v>
      </c>
      <c r="C46" s="656"/>
      <c r="D46" s="209">
        <f>+'Swing Doors'!D10-'Swing Doors'!D6</f>
        <v>1480</v>
      </c>
      <c r="E46" s="204"/>
      <c r="F46" s="487">
        <f t="shared" ref="F46:F54" si="3">SUM(E46-D46)</f>
        <v>-1480</v>
      </c>
    </row>
    <row r="47" spans="2:8" ht="18" customHeight="1">
      <c r="B47" s="655" t="s">
        <v>1511</v>
      </c>
      <c r="C47" s="656"/>
      <c r="D47" s="209">
        <v>150</v>
      </c>
      <c r="E47" s="204"/>
      <c r="F47" s="487">
        <f t="shared" si="3"/>
        <v>-150</v>
      </c>
    </row>
    <row r="48" spans="2:8" ht="18" customHeight="1">
      <c r="B48" s="655" t="s">
        <v>1512</v>
      </c>
      <c r="C48" s="656"/>
      <c r="D48" s="209">
        <f>+'Swing Doors'!D12</f>
        <v>175</v>
      </c>
      <c r="E48" s="204"/>
      <c r="F48" s="487">
        <f t="shared" si="3"/>
        <v>-175</v>
      </c>
    </row>
    <row r="49" spans="2:8" ht="18" customHeight="1">
      <c r="B49" s="655" t="s">
        <v>1513</v>
      </c>
      <c r="C49" s="656"/>
      <c r="D49" s="209">
        <v>470</v>
      </c>
      <c r="E49" s="204"/>
      <c r="F49" s="487">
        <f t="shared" si="3"/>
        <v>-470</v>
      </c>
    </row>
    <row r="50" spans="2:8" ht="18" customHeight="1">
      <c r="B50" s="655" t="s">
        <v>1514</v>
      </c>
      <c r="C50" s="656"/>
      <c r="D50" s="209">
        <f>1530*2</f>
        <v>3060</v>
      </c>
      <c r="E50" s="204"/>
      <c r="F50" s="487">
        <f t="shared" si="3"/>
        <v>-3060</v>
      </c>
    </row>
    <row r="51" spans="2:8" ht="18" customHeight="1">
      <c r="B51" s="775" t="s">
        <v>1515</v>
      </c>
      <c r="C51" s="776"/>
      <c r="D51" s="209">
        <v>700</v>
      </c>
      <c r="E51" s="204"/>
      <c r="F51" s="487">
        <f t="shared" si="3"/>
        <v>-700</v>
      </c>
      <c r="G51" s="555"/>
      <c r="H51" s="449" t="s">
        <v>1516</v>
      </c>
    </row>
    <row r="52" spans="2:8" ht="18" customHeight="1">
      <c r="B52" s="777" t="s">
        <v>1517</v>
      </c>
      <c r="C52" s="778"/>
      <c r="D52" s="209">
        <f>120*10</f>
        <v>1200</v>
      </c>
      <c r="E52" s="204"/>
      <c r="F52" s="487">
        <f t="shared" si="3"/>
        <v>-1200</v>
      </c>
      <c r="H52" s="449" t="s">
        <v>1518</v>
      </c>
    </row>
    <row r="53" spans="2:8" ht="18" customHeight="1">
      <c r="B53" s="687" t="s">
        <v>1519</v>
      </c>
      <c r="C53" s="688"/>
      <c r="D53" s="209">
        <v>2125</v>
      </c>
      <c r="E53" s="204"/>
      <c r="F53" s="487">
        <f t="shared" si="3"/>
        <v>-2125</v>
      </c>
    </row>
    <row r="54" spans="2:8" ht="18" customHeight="1">
      <c r="B54" s="777" t="s">
        <v>1520</v>
      </c>
      <c r="C54" s="778"/>
      <c r="D54" s="209">
        <v>4575</v>
      </c>
      <c r="E54" s="204"/>
      <c r="F54" s="487">
        <f t="shared" si="3"/>
        <v>-4575</v>
      </c>
      <c r="H54" s="449" t="s">
        <v>1521</v>
      </c>
    </row>
    <row r="55" spans="2:8" ht="18" customHeight="1">
      <c r="B55" s="687" t="s">
        <v>1522</v>
      </c>
      <c r="C55" s="688"/>
      <c r="D55" s="209">
        <f>480*2</f>
        <v>960</v>
      </c>
      <c r="E55" s="204"/>
      <c r="F55" s="487">
        <f>SUM(E55-D55)</f>
        <v>-960</v>
      </c>
      <c r="H55" s="449" t="s">
        <v>1523</v>
      </c>
    </row>
    <row r="56" spans="2:8" ht="18" customHeight="1">
      <c r="B56" s="687" t="s">
        <v>1524</v>
      </c>
      <c r="C56" s="688"/>
      <c r="D56" s="209" t="s">
        <v>1476</v>
      </c>
      <c r="E56" s="204"/>
      <c r="F56" s="487">
        <v>0</v>
      </c>
    </row>
    <row r="57" spans="2:8" ht="18" customHeight="1">
      <c r="B57" s="661" t="s">
        <v>1525</v>
      </c>
      <c r="C57" s="662"/>
      <c r="D57" s="662"/>
      <c r="E57" s="662"/>
      <c r="F57" s="663"/>
    </row>
    <row r="58" spans="2:8" ht="18" customHeight="1">
      <c r="B58" s="775" t="s">
        <v>1526</v>
      </c>
      <c r="C58" s="776"/>
      <c r="D58" s="209">
        <v>400</v>
      </c>
      <c r="E58" s="204"/>
      <c r="F58" s="487">
        <f>SUM(E58-D58)</f>
        <v>-400</v>
      </c>
      <c r="H58" s="449" t="s">
        <v>1527</v>
      </c>
    </row>
    <row r="59" spans="2:8" ht="18" customHeight="1">
      <c r="B59" s="655" t="s">
        <v>1528</v>
      </c>
      <c r="C59" s="656"/>
      <c r="D59" s="209">
        <f>+'Robes &amp; Shelving'!D20*2</f>
        <v>1020</v>
      </c>
      <c r="E59" s="204"/>
      <c r="F59" s="487">
        <f>SUM(E59-D59)</f>
        <v>-1020</v>
      </c>
    </row>
    <row r="60" spans="2:8" ht="18" customHeight="1">
      <c r="B60" s="775" t="s">
        <v>1529</v>
      </c>
      <c r="C60" s="776"/>
      <c r="D60" s="209">
        <v>170</v>
      </c>
      <c r="E60" s="204"/>
      <c r="F60" s="487">
        <f>SUM(E60-D60)</f>
        <v>-170</v>
      </c>
      <c r="H60" s="449" t="s">
        <v>1530</v>
      </c>
    </row>
    <row r="61" spans="2:8" ht="18" customHeight="1">
      <c r="B61" s="661" t="s">
        <v>366</v>
      </c>
      <c r="C61" s="662"/>
      <c r="D61" s="662"/>
      <c r="E61" s="662"/>
      <c r="F61" s="663"/>
    </row>
    <row r="62" spans="2:8" ht="18" customHeight="1">
      <c r="B62" s="655" t="s">
        <v>1531</v>
      </c>
      <c r="C62" s="656"/>
      <c r="D62" s="209">
        <f>30*Cabinetry!E54</f>
        <v>1350</v>
      </c>
      <c r="E62" s="204"/>
      <c r="F62" s="487">
        <f t="shared" ref="F62:F72" si="4">SUM(E62-D62)</f>
        <v>-1350</v>
      </c>
    </row>
    <row r="63" spans="2:8" ht="18" customHeight="1">
      <c r="B63" s="775" t="s">
        <v>1532</v>
      </c>
      <c r="C63" s="776"/>
      <c r="D63" s="209">
        <v>8230</v>
      </c>
      <c r="E63" s="204"/>
      <c r="F63" s="487">
        <f t="shared" si="4"/>
        <v>-8230</v>
      </c>
      <c r="H63" s="449" t="s">
        <v>1533</v>
      </c>
    </row>
    <row r="64" spans="2:8" ht="18" customHeight="1">
      <c r="B64" s="775" t="s">
        <v>1534</v>
      </c>
      <c r="C64" s="776"/>
      <c r="D64" s="209">
        <v>3160</v>
      </c>
      <c r="E64" s="204"/>
      <c r="F64" s="487">
        <f t="shared" si="4"/>
        <v>-3160</v>
      </c>
      <c r="H64" s="449" t="s">
        <v>1535</v>
      </c>
    </row>
    <row r="65" spans="2:8" ht="18" customHeight="1">
      <c r="B65" s="655" t="s">
        <v>1536</v>
      </c>
      <c r="C65" s="656"/>
      <c r="D65" s="209">
        <v>2550</v>
      </c>
      <c r="E65" s="204"/>
      <c r="F65" s="487">
        <f t="shared" si="4"/>
        <v>-2550</v>
      </c>
    </row>
    <row r="66" spans="2:8" ht="18" customHeight="1">
      <c r="B66" s="655" t="s">
        <v>1537</v>
      </c>
      <c r="C66" s="656"/>
      <c r="D66" s="209">
        <v>3900</v>
      </c>
      <c r="E66" s="204"/>
      <c r="F66" s="487">
        <f t="shared" si="4"/>
        <v>-3900</v>
      </c>
    </row>
    <row r="67" spans="2:8" ht="18" customHeight="1">
      <c r="B67" s="655" t="s">
        <v>1538</v>
      </c>
      <c r="C67" s="656"/>
      <c r="D67" s="209">
        <v>725</v>
      </c>
      <c r="E67" s="204"/>
      <c r="F67" s="487">
        <f t="shared" si="4"/>
        <v>-725</v>
      </c>
    </row>
    <row r="68" spans="2:8" ht="18" customHeight="1">
      <c r="B68" s="655" t="s">
        <v>1539</v>
      </c>
      <c r="C68" s="656"/>
      <c r="D68" s="209">
        <f>+Appliances!D11+Appliances!D12+Appliances!D13-Appliances!D3-Appliances!D4-Appliances!D5</f>
        <v>1520</v>
      </c>
      <c r="E68" s="204"/>
      <c r="F68" s="487">
        <f t="shared" si="4"/>
        <v>-1520</v>
      </c>
    </row>
    <row r="69" spans="2:8" ht="18" customHeight="1">
      <c r="B69" s="655" t="s">
        <v>1196</v>
      </c>
      <c r="C69" s="656"/>
      <c r="D69" s="209">
        <v>355</v>
      </c>
      <c r="E69" s="204"/>
      <c r="F69" s="487">
        <f t="shared" si="4"/>
        <v>-355</v>
      </c>
    </row>
    <row r="70" spans="2:8" ht="18" customHeight="1">
      <c r="B70" s="655" t="s">
        <v>468</v>
      </c>
      <c r="C70" s="656"/>
      <c r="D70" s="209">
        <f>+Cabinetry!E62</f>
        <v>250</v>
      </c>
      <c r="E70" s="204"/>
      <c r="F70" s="487">
        <f t="shared" si="4"/>
        <v>-250</v>
      </c>
    </row>
    <row r="71" spans="2:8" ht="18" customHeight="1">
      <c r="B71" s="655" t="s">
        <v>1191</v>
      </c>
      <c r="C71" s="656"/>
      <c r="D71" s="209">
        <f>+Cabinetry!E66*2</f>
        <v>660</v>
      </c>
      <c r="E71" s="204"/>
      <c r="F71" s="487">
        <f t="shared" si="4"/>
        <v>-660</v>
      </c>
    </row>
    <row r="72" spans="2:8" ht="18" customHeight="1">
      <c r="B72" s="655" t="s">
        <v>1540</v>
      </c>
      <c r="C72" s="656"/>
      <c r="D72" s="209">
        <f>+Cabinetry!E47+Cabinetry!E48+Cabinetry!E49</f>
        <v>960</v>
      </c>
      <c r="E72" s="204"/>
      <c r="F72" s="487">
        <f t="shared" si="4"/>
        <v>-960</v>
      </c>
    </row>
    <row r="73" spans="2:8" ht="18" customHeight="1">
      <c r="B73" s="661" t="s">
        <v>876</v>
      </c>
      <c r="C73" s="662"/>
      <c r="D73" s="662"/>
      <c r="E73" s="662"/>
      <c r="F73" s="663"/>
    </row>
    <row r="74" spans="2:8" ht="18" customHeight="1">
      <c r="B74" s="655" t="s">
        <v>1541</v>
      </c>
      <c r="C74" s="656"/>
      <c r="D74" s="209">
        <f>+Cabinetry!E33+Cabinetry!E34*11</f>
        <v>1915</v>
      </c>
      <c r="E74" s="204"/>
      <c r="F74" s="487">
        <f>SUM(E74-D74)</f>
        <v>-1915</v>
      </c>
    </row>
    <row r="75" spans="2:8" ht="18" customHeight="1">
      <c r="B75" s="775" t="s">
        <v>1542</v>
      </c>
      <c r="C75" s="776"/>
      <c r="D75" s="209">
        <v>1450</v>
      </c>
      <c r="E75" s="204"/>
      <c r="F75" s="487">
        <f>SUM(E75-D75)</f>
        <v>-1450</v>
      </c>
      <c r="H75" s="449" t="s">
        <v>1533</v>
      </c>
    </row>
    <row r="76" spans="2:8" ht="18" customHeight="1">
      <c r="B76" s="775" t="s">
        <v>1543</v>
      </c>
      <c r="C76" s="776"/>
      <c r="D76" s="209">
        <v>250</v>
      </c>
      <c r="E76" s="204"/>
      <c r="F76" s="487">
        <f>SUM(E76-D76)</f>
        <v>-250</v>
      </c>
      <c r="H76" s="449" t="s">
        <v>1535</v>
      </c>
    </row>
    <row r="77" spans="2:8" ht="18" customHeight="1">
      <c r="B77" s="655" t="s">
        <v>1538</v>
      </c>
      <c r="C77" s="656"/>
      <c r="D77" s="209">
        <v>70</v>
      </c>
      <c r="E77" s="204"/>
      <c r="F77" s="487">
        <f>SUM(E77-D77)</f>
        <v>-70</v>
      </c>
    </row>
    <row r="78" spans="2:8" ht="18" customHeight="1">
      <c r="B78" s="655" t="s">
        <v>1544</v>
      </c>
      <c r="C78" s="656"/>
      <c r="D78" s="209">
        <f>+Cabinetry!E70+50</f>
        <v>1775</v>
      </c>
      <c r="E78" s="204"/>
      <c r="F78" s="487">
        <f>SUM(E78-D78)</f>
        <v>-1775</v>
      </c>
    </row>
    <row r="79" spans="2:8" ht="18" customHeight="1">
      <c r="B79" s="661" t="s">
        <v>463</v>
      </c>
      <c r="C79" s="662"/>
      <c r="D79" s="662"/>
      <c r="E79" s="662"/>
      <c r="F79" s="663"/>
    </row>
    <row r="80" spans="2:8" ht="18" customHeight="1">
      <c r="B80" s="775" t="s">
        <v>1545</v>
      </c>
      <c r="C80" s="776"/>
      <c r="D80" s="209">
        <v>850</v>
      </c>
      <c r="E80" s="204"/>
      <c r="F80" s="487">
        <f t="shared" ref="F80:F89" si="5">SUM(E80-D80)</f>
        <v>-850</v>
      </c>
      <c r="H80" s="449" t="s">
        <v>1533</v>
      </c>
    </row>
    <row r="81" spans="2:8" ht="18" customHeight="1">
      <c r="B81" s="655" t="s">
        <v>1546</v>
      </c>
      <c r="C81" s="656"/>
      <c r="D81" s="209">
        <f>+Cabinetry!E66*2</f>
        <v>660</v>
      </c>
      <c r="E81" s="204"/>
      <c r="F81" s="487">
        <f t="shared" si="5"/>
        <v>-660</v>
      </c>
    </row>
    <row r="82" spans="2:8" ht="18" customHeight="1">
      <c r="B82" s="775" t="s">
        <v>1543</v>
      </c>
      <c r="C82" s="776"/>
      <c r="D82" s="209">
        <v>720</v>
      </c>
      <c r="E82" s="204"/>
      <c r="F82" s="487">
        <f t="shared" si="5"/>
        <v>-720</v>
      </c>
      <c r="H82" s="449" t="s">
        <v>1535</v>
      </c>
    </row>
    <row r="83" spans="2:8" ht="18" customHeight="1">
      <c r="B83" s="655" t="s">
        <v>1538</v>
      </c>
      <c r="C83" s="656"/>
      <c r="D83" s="209">
        <v>90</v>
      </c>
      <c r="E83" s="204"/>
      <c r="F83" s="487">
        <f>SUM(E83-D83)</f>
        <v>-90</v>
      </c>
    </row>
    <row r="84" spans="2:8" ht="18" customHeight="1">
      <c r="B84" s="655" t="s">
        <v>1547</v>
      </c>
      <c r="C84" s="656"/>
      <c r="D84" s="209">
        <f>+Cabinetry!E7</f>
        <v>1355</v>
      </c>
      <c r="E84" s="204"/>
      <c r="F84" s="487">
        <f>SUM(E84-D84)</f>
        <v>-1355</v>
      </c>
    </row>
    <row r="85" spans="2:8" ht="18" customHeight="1">
      <c r="B85" s="655" t="s">
        <v>1548</v>
      </c>
      <c r="C85" s="656"/>
      <c r="D85" s="209">
        <f>150*2</f>
        <v>300</v>
      </c>
      <c r="E85" s="204"/>
      <c r="F85" s="487">
        <f t="shared" si="5"/>
        <v>-300</v>
      </c>
    </row>
    <row r="86" spans="2:8" ht="18" customHeight="1">
      <c r="B86" s="655" t="s">
        <v>1549</v>
      </c>
      <c r="C86" s="656"/>
      <c r="D86" s="209">
        <f>70*2</f>
        <v>140</v>
      </c>
      <c r="E86" s="204"/>
      <c r="F86" s="487">
        <f t="shared" si="5"/>
        <v>-140</v>
      </c>
    </row>
    <row r="87" spans="2:8" ht="18" customHeight="1">
      <c r="B87" s="655" t="s">
        <v>1550</v>
      </c>
      <c r="C87" s="656"/>
      <c r="D87" s="209">
        <v>400</v>
      </c>
      <c r="E87" s="211"/>
      <c r="F87" s="487">
        <f t="shared" si="5"/>
        <v>-400</v>
      </c>
    </row>
    <row r="88" spans="2:8" ht="18" customHeight="1">
      <c r="B88" s="775" t="s">
        <v>1551</v>
      </c>
      <c r="C88" s="776"/>
      <c r="D88" s="209">
        <v>200</v>
      </c>
      <c r="E88" s="204"/>
      <c r="F88" s="487">
        <f t="shared" si="5"/>
        <v>-200</v>
      </c>
      <c r="H88" s="449" t="s">
        <v>1552</v>
      </c>
    </row>
    <row r="89" spans="2:8" ht="18" customHeight="1">
      <c r="B89" s="655" t="s">
        <v>965</v>
      </c>
      <c r="C89" s="656"/>
      <c r="D89" s="209">
        <v>250</v>
      </c>
      <c r="E89" s="204"/>
      <c r="F89" s="487">
        <f t="shared" si="5"/>
        <v>-250</v>
      </c>
    </row>
    <row r="90" spans="2:8" ht="18" customHeight="1">
      <c r="B90" s="661" t="s">
        <v>464</v>
      </c>
      <c r="C90" s="662"/>
      <c r="D90" s="662"/>
      <c r="E90" s="662"/>
      <c r="F90" s="663"/>
    </row>
    <row r="91" spans="2:8" ht="18" customHeight="1">
      <c r="B91" s="775" t="s">
        <v>1545</v>
      </c>
      <c r="C91" s="776"/>
      <c r="D91" s="209">
        <v>415</v>
      </c>
      <c r="E91" s="204"/>
      <c r="F91" s="487">
        <f t="shared" ref="F91:F97" si="6">SUM(E91-D91)</f>
        <v>-415</v>
      </c>
      <c r="H91" s="449" t="s">
        <v>1533</v>
      </c>
    </row>
    <row r="92" spans="2:8" ht="18" customHeight="1">
      <c r="B92" s="775" t="s">
        <v>1543</v>
      </c>
      <c r="C92" s="776"/>
      <c r="D92" s="209">
        <v>600</v>
      </c>
      <c r="E92" s="204"/>
      <c r="F92" s="487">
        <f t="shared" si="6"/>
        <v>-600</v>
      </c>
      <c r="H92" s="449" t="s">
        <v>1535</v>
      </c>
    </row>
    <row r="93" spans="2:8" ht="18" customHeight="1">
      <c r="B93" s="655" t="s">
        <v>1538</v>
      </c>
      <c r="C93" s="656"/>
      <c r="D93" s="209">
        <v>115</v>
      </c>
      <c r="E93" s="204"/>
      <c r="F93" s="487">
        <f t="shared" si="6"/>
        <v>-115</v>
      </c>
    </row>
    <row r="94" spans="2:8" ht="18" customHeight="1">
      <c r="B94" s="655" t="s">
        <v>1548</v>
      </c>
      <c r="C94" s="656"/>
      <c r="D94" s="209">
        <v>150</v>
      </c>
      <c r="E94" s="204"/>
      <c r="F94" s="487">
        <f t="shared" si="6"/>
        <v>-150</v>
      </c>
    </row>
    <row r="95" spans="2:8" ht="18" customHeight="1">
      <c r="B95" s="655" t="s">
        <v>1553</v>
      </c>
      <c r="C95" s="656"/>
      <c r="D95" s="209">
        <v>70</v>
      </c>
      <c r="E95" s="204"/>
      <c r="F95" s="487">
        <f t="shared" si="6"/>
        <v>-70</v>
      </c>
    </row>
    <row r="96" spans="2:8" ht="18" customHeight="1">
      <c r="B96" s="655" t="s">
        <v>1554</v>
      </c>
      <c r="C96" s="656"/>
      <c r="D96" s="209">
        <v>400</v>
      </c>
      <c r="E96" s="204"/>
      <c r="F96" s="487">
        <f t="shared" si="6"/>
        <v>-400</v>
      </c>
    </row>
    <row r="97" spans="2:8" ht="18" customHeight="1">
      <c r="B97" s="655" t="s">
        <v>965</v>
      </c>
      <c r="C97" s="656"/>
      <c r="D97" s="209">
        <v>250</v>
      </c>
      <c r="E97" s="204"/>
      <c r="F97" s="487">
        <f t="shared" si="6"/>
        <v>-250</v>
      </c>
    </row>
    <row r="98" spans="2:8" s="462" customFormat="1" ht="18" customHeight="1">
      <c r="B98" s="661" t="s">
        <v>388</v>
      </c>
      <c r="C98" s="662"/>
      <c r="D98" s="662"/>
      <c r="E98" s="662"/>
      <c r="F98" s="663"/>
    </row>
    <row r="99" spans="2:8" s="462" customFormat="1" ht="18" customHeight="1">
      <c r="B99" s="655" t="s">
        <v>1555</v>
      </c>
      <c r="C99" s="656"/>
      <c r="D99" s="209">
        <f>11*Cabinetry!E19</f>
        <v>605</v>
      </c>
      <c r="E99" s="204"/>
      <c r="F99" s="487">
        <f>SUM(E99-D99)</f>
        <v>-605</v>
      </c>
    </row>
    <row r="100" spans="2:8" ht="18" customHeight="1">
      <c r="B100" s="775" t="s">
        <v>1543</v>
      </c>
      <c r="C100" s="776"/>
      <c r="D100" s="209">
        <v>480</v>
      </c>
      <c r="E100" s="204"/>
      <c r="F100" s="487">
        <f>SUM(E100-D100)</f>
        <v>-480</v>
      </c>
      <c r="H100" s="449" t="s">
        <v>1535</v>
      </c>
    </row>
    <row r="101" spans="2:8" ht="18" customHeight="1">
      <c r="B101" s="655" t="s">
        <v>1538</v>
      </c>
      <c r="C101" s="656"/>
      <c r="D101" s="209">
        <v>70</v>
      </c>
      <c r="E101" s="204"/>
      <c r="F101" s="487">
        <f>SUM(E101-D101)</f>
        <v>-70</v>
      </c>
    </row>
    <row r="102" spans="2:8" s="462" customFormat="1" ht="18" customHeight="1">
      <c r="B102" s="655" t="s">
        <v>1556</v>
      </c>
      <c r="C102" s="656"/>
      <c r="D102" s="209">
        <v>50</v>
      </c>
      <c r="E102" s="204"/>
      <c r="F102" s="487">
        <f>SUM(E102-D102)</f>
        <v>-50</v>
      </c>
    </row>
    <row r="103" spans="2:8" s="462" customFormat="1" ht="18" customHeight="1">
      <c r="B103" s="661" t="s">
        <v>465</v>
      </c>
      <c r="C103" s="662"/>
      <c r="D103" s="662"/>
      <c r="E103" s="662"/>
      <c r="F103" s="663"/>
    </row>
    <row r="104" spans="2:8" s="462" customFormat="1" ht="18" customHeight="1">
      <c r="B104" s="655" t="s">
        <v>1557</v>
      </c>
      <c r="C104" s="656"/>
      <c r="D104" s="209">
        <f>68*Electrical!D33+68*Electrical!D32+29*Electrical!D30</f>
        <v>4895</v>
      </c>
      <c r="E104" s="204"/>
      <c r="F104" s="487">
        <f t="shared" ref="F104:F115" si="7">SUM(E104-D104)</f>
        <v>-4895</v>
      </c>
      <c r="H104" s="462" t="s">
        <v>1558</v>
      </c>
    </row>
    <row r="105" spans="2:8" s="462" customFormat="1" ht="18" customHeight="1">
      <c r="B105" s="655" t="s">
        <v>1559</v>
      </c>
      <c r="C105" s="656"/>
      <c r="D105" s="209">
        <f>120*2+2*Electrical!D30+2*Electrical!D32</f>
        <v>430</v>
      </c>
      <c r="E105" s="204"/>
      <c r="F105" s="487">
        <f t="shared" si="7"/>
        <v>-430</v>
      </c>
    </row>
    <row r="106" spans="2:8" s="462" customFormat="1" ht="18" customHeight="1">
      <c r="B106" s="655" t="s">
        <v>1560</v>
      </c>
      <c r="C106" s="656"/>
      <c r="D106" s="209">
        <f>120+Electrical!D30+Electrical!D32</f>
        <v>215</v>
      </c>
      <c r="E106" s="204"/>
      <c r="F106" s="487">
        <f t="shared" si="7"/>
        <v>-215</v>
      </c>
    </row>
    <row r="107" spans="2:8" s="462" customFormat="1" ht="18" customHeight="1">
      <c r="B107" s="655" t="s">
        <v>1561</v>
      </c>
      <c r="C107" s="656"/>
      <c r="D107" s="209">
        <f>300*2+2*Electrical!D30+2*Electrical!D31</f>
        <v>930</v>
      </c>
      <c r="E107" s="204"/>
      <c r="F107" s="487">
        <f t="shared" si="7"/>
        <v>-930</v>
      </c>
    </row>
    <row r="108" spans="2:8" s="462" customFormat="1" ht="18" customHeight="1">
      <c r="B108" s="655" t="s">
        <v>1562</v>
      </c>
      <c r="C108" s="656"/>
      <c r="D108" s="209">
        <f>160*2+2*Electrical!D30+2*Electrical!D31</f>
        <v>650</v>
      </c>
      <c r="E108" s="204"/>
      <c r="F108" s="487">
        <f t="shared" si="7"/>
        <v>-650</v>
      </c>
    </row>
    <row r="109" spans="2:8" s="462" customFormat="1" ht="18" customHeight="1">
      <c r="B109" s="655" t="s">
        <v>1563</v>
      </c>
      <c r="C109" s="656"/>
      <c r="D109" s="209">
        <f>120*6+6*Electrical!D30+6*Electrical!D31</f>
        <v>1710</v>
      </c>
      <c r="E109" s="204"/>
      <c r="F109" s="487">
        <f t="shared" si="7"/>
        <v>-1710</v>
      </c>
    </row>
    <row r="110" spans="2:8" s="462" customFormat="1" ht="18" customHeight="1">
      <c r="B110" s="661" t="s">
        <v>400</v>
      </c>
      <c r="C110" s="662"/>
      <c r="D110" s="662"/>
      <c r="E110" s="662"/>
      <c r="F110" s="663"/>
    </row>
    <row r="111" spans="2:8" s="462" customFormat="1" ht="18" customHeight="1">
      <c r="B111" s="655" t="s">
        <v>1564</v>
      </c>
      <c r="C111" s="656"/>
      <c r="D111" s="209">
        <f>75*3</f>
        <v>225</v>
      </c>
      <c r="E111" s="204"/>
      <c r="F111" s="487">
        <f>SUM(E111-D111)</f>
        <v>-225</v>
      </c>
    </row>
    <row r="112" spans="2:8" s="462" customFormat="1" ht="18" customHeight="1">
      <c r="B112" s="775" t="s">
        <v>1565</v>
      </c>
      <c r="C112" s="776"/>
      <c r="D112" s="209">
        <v>450</v>
      </c>
      <c r="E112" s="204"/>
      <c r="F112" s="487">
        <f>SUM(E112-D112)</f>
        <v>-450</v>
      </c>
      <c r="H112" s="462" t="s">
        <v>1566</v>
      </c>
    </row>
    <row r="113" spans="2:15" s="462" customFormat="1" ht="18" customHeight="1">
      <c r="B113" s="655" t="s">
        <v>679</v>
      </c>
      <c r="C113" s="656"/>
      <c r="D113" s="209">
        <f>+Electrical!D17</f>
        <v>590</v>
      </c>
      <c r="E113" s="204"/>
      <c r="F113" s="487">
        <f t="shared" si="7"/>
        <v>-590</v>
      </c>
    </row>
    <row r="114" spans="2:15" s="462" customFormat="1" ht="18" customHeight="1">
      <c r="B114" s="655" t="s">
        <v>1567</v>
      </c>
      <c r="C114" s="656"/>
      <c r="D114" s="209">
        <f>+Electrical!D40</f>
        <v>115</v>
      </c>
      <c r="E114" s="204"/>
      <c r="F114" s="487">
        <f t="shared" si="7"/>
        <v>-115</v>
      </c>
    </row>
    <row r="115" spans="2:15" s="462" customFormat="1" ht="18" customHeight="1">
      <c r="B115" s="655" t="s">
        <v>1568</v>
      </c>
      <c r="C115" s="656"/>
      <c r="D115" s="209">
        <f>9*Electrical!D7</f>
        <v>765</v>
      </c>
      <c r="E115" s="204"/>
      <c r="F115" s="487">
        <f t="shared" si="7"/>
        <v>-765</v>
      </c>
      <c r="L115" s="556"/>
      <c r="M115" s="556"/>
      <c r="N115" s="556"/>
      <c r="O115" s="556"/>
    </row>
    <row r="116" spans="2:15" s="462" customFormat="1" ht="18" customHeight="1">
      <c r="B116" s="661" t="s">
        <v>412</v>
      </c>
      <c r="C116" s="662"/>
      <c r="D116" s="662"/>
      <c r="E116" s="662"/>
      <c r="F116" s="663"/>
      <c r="L116" s="556"/>
      <c r="M116" s="556"/>
      <c r="N116" s="556"/>
      <c r="O116" s="556"/>
    </row>
    <row r="117" spans="2:15" s="462" customFormat="1" ht="18" customHeight="1">
      <c r="B117" s="775" t="s">
        <v>1569</v>
      </c>
      <c r="C117" s="776"/>
      <c r="D117" s="209">
        <v>11500</v>
      </c>
      <c r="E117" s="204"/>
      <c r="F117" s="487">
        <f>SUM(E117-D117)</f>
        <v>-11500</v>
      </c>
      <c r="H117" s="462" t="s">
        <v>1570</v>
      </c>
      <c r="L117" s="556"/>
      <c r="M117" s="556"/>
      <c r="N117" s="557"/>
      <c r="O117" s="556"/>
    </row>
    <row r="118" spans="2:15" s="462" customFormat="1" ht="18" customHeight="1">
      <c r="B118" s="655" t="s">
        <v>1571</v>
      </c>
      <c r="C118" s="656"/>
      <c r="D118" s="209">
        <v>4490</v>
      </c>
      <c r="E118" s="204"/>
      <c r="F118" s="487">
        <f>SUM(E118-D118)</f>
        <v>-4490</v>
      </c>
      <c r="L118" s="556"/>
      <c r="M118" s="556"/>
      <c r="N118" s="556"/>
      <c r="O118" s="556"/>
    </row>
    <row r="119" spans="2:15" s="462" customFormat="1" ht="18" customHeight="1">
      <c r="B119" s="655" t="s">
        <v>1572</v>
      </c>
      <c r="C119" s="656"/>
      <c r="D119" s="209">
        <v>1200</v>
      </c>
      <c r="E119" s="204"/>
      <c r="F119" s="487">
        <f t="shared" ref="F119:F120" si="8">SUM(E119-D119)</f>
        <v>-1200</v>
      </c>
      <c r="L119" s="556"/>
      <c r="M119" s="556"/>
      <c r="N119" s="556"/>
      <c r="O119" s="556"/>
    </row>
    <row r="120" spans="2:15" s="462" customFormat="1" ht="18" customHeight="1">
      <c r="B120" s="655" t="s">
        <v>1573</v>
      </c>
      <c r="C120" s="656"/>
      <c r="D120" s="558">
        <v>1050</v>
      </c>
      <c r="E120" s="204"/>
      <c r="F120" s="487">
        <f t="shared" si="8"/>
        <v>-1050</v>
      </c>
      <c r="H120" s="559" t="s">
        <v>1574</v>
      </c>
      <c r="L120" s="556"/>
      <c r="M120" s="556"/>
      <c r="N120" s="556"/>
      <c r="O120" s="556"/>
    </row>
    <row r="121" spans="2:15" s="462" customFormat="1" ht="18" customHeight="1">
      <c r="B121" s="661" t="s">
        <v>1575</v>
      </c>
      <c r="C121" s="662"/>
      <c r="D121" s="662"/>
      <c r="E121" s="662"/>
      <c r="F121" s="663"/>
      <c r="L121" s="556"/>
      <c r="M121" s="556"/>
      <c r="N121" s="556"/>
      <c r="O121" s="556"/>
    </row>
    <row r="122" spans="2:15" s="462" customFormat="1" ht="18" customHeight="1">
      <c r="B122" s="775" t="s">
        <v>1576</v>
      </c>
      <c r="C122" s="776"/>
      <c r="D122" s="209">
        <v>3250</v>
      </c>
      <c r="E122" s="204"/>
      <c r="F122" s="487">
        <f>SUM(E122-D122)</f>
        <v>-3250</v>
      </c>
      <c r="H122" s="462" t="s">
        <v>1577</v>
      </c>
      <c r="L122" s="556"/>
      <c r="M122" s="556"/>
      <c r="N122" s="556"/>
      <c r="O122" s="556"/>
    </row>
    <row r="123" spans="2:15" s="462" customFormat="1" ht="18" customHeight="1">
      <c r="B123" s="775" t="s">
        <v>1578</v>
      </c>
      <c r="C123" s="776"/>
      <c r="D123" s="209">
        <v>3635</v>
      </c>
      <c r="E123" s="204"/>
      <c r="F123" s="487">
        <f>SUM(E123-D123)</f>
        <v>-3635</v>
      </c>
      <c r="H123" s="462" t="s">
        <v>1579</v>
      </c>
      <c r="L123" s="556"/>
      <c r="M123" s="556"/>
      <c r="N123" s="556"/>
      <c r="O123" s="556"/>
    </row>
    <row r="124" spans="2:15" s="462" customFormat="1" ht="18" customHeight="1">
      <c r="B124" s="775" t="s">
        <v>1580</v>
      </c>
      <c r="C124" s="776"/>
      <c r="D124" s="209">
        <f>+CEILING(17*'Floor Coverings'!D10,5)</f>
        <v>1755</v>
      </c>
      <c r="E124" s="204"/>
      <c r="F124" s="487">
        <f t="shared" ref="F124:F127" si="9">SUM(E124-D124)</f>
        <v>-1755</v>
      </c>
      <c r="H124" s="462" t="s">
        <v>1577</v>
      </c>
      <c r="L124" s="556"/>
      <c r="M124" s="556"/>
      <c r="N124" s="556"/>
      <c r="O124" s="556"/>
    </row>
    <row r="125" spans="2:15" s="462" customFormat="1" ht="18" customHeight="1">
      <c r="B125" s="775" t="s">
        <v>1581</v>
      </c>
      <c r="C125" s="776"/>
      <c r="D125" s="209">
        <f>+CEILING(2.5*'Floor Coverings'!D10,5)</f>
        <v>260</v>
      </c>
      <c r="E125" s="204"/>
      <c r="F125" s="487">
        <f t="shared" si="9"/>
        <v>-260</v>
      </c>
      <c r="H125" s="462" t="s">
        <v>1577</v>
      </c>
      <c r="L125" s="556"/>
      <c r="M125" s="556"/>
      <c r="N125" s="556"/>
      <c r="O125" s="556"/>
    </row>
    <row r="126" spans="2:15" s="462" customFormat="1" ht="18" customHeight="1">
      <c r="B126" s="775" t="s">
        <v>1582</v>
      </c>
      <c r="C126" s="776"/>
      <c r="D126" s="209">
        <v>2950</v>
      </c>
      <c r="E126" s="204"/>
      <c r="F126" s="487">
        <f t="shared" si="9"/>
        <v>-2950</v>
      </c>
      <c r="H126" s="462" t="s">
        <v>1577</v>
      </c>
      <c r="L126" s="556"/>
      <c r="M126" s="556"/>
      <c r="N126" s="556"/>
      <c r="O126" s="556"/>
    </row>
    <row r="127" spans="2:15" s="462" customFormat="1" ht="18" customHeight="1">
      <c r="B127" s="775" t="s">
        <v>1583</v>
      </c>
      <c r="C127" s="776"/>
      <c r="D127" s="209">
        <v>22920</v>
      </c>
      <c r="E127" s="204"/>
      <c r="F127" s="487">
        <f t="shared" si="9"/>
        <v>-22920</v>
      </c>
      <c r="H127" s="462" t="s">
        <v>1584</v>
      </c>
      <c r="L127" s="556"/>
      <c r="M127" s="556"/>
      <c r="N127" s="556"/>
      <c r="O127" s="556"/>
    </row>
    <row r="128" spans="2:15" s="462" customFormat="1" ht="18" customHeight="1">
      <c r="B128" s="661" t="s">
        <v>427</v>
      </c>
      <c r="C128" s="662"/>
      <c r="D128" s="662"/>
      <c r="E128" s="662"/>
      <c r="F128" s="663"/>
      <c r="L128" s="556"/>
      <c r="M128" s="556"/>
      <c r="N128" s="556"/>
      <c r="O128" s="556"/>
    </row>
    <row r="129" spans="2:15" s="462" customFormat="1" ht="18" customHeight="1">
      <c r="B129" s="775" t="s">
        <v>1618</v>
      </c>
      <c r="C129" s="776"/>
      <c r="D129" s="209">
        <f>+'Yard Items'!D10*135</f>
        <v>25650</v>
      </c>
      <c r="E129" s="204"/>
      <c r="F129" s="487">
        <f>SUM(E129-D129)</f>
        <v>-25650</v>
      </c>
      <c r="H129" s="462" t="s">
        <v>1585</v>
      </c>
      <c r="L129" s="556"/>
      <c r="M129" s="556"/>
      <c r="N129" s="556"/>
      <c r="O129" s="556"/>
    </row>
    <row r="130" spans="2:15" s="462" customFormat="1" ht="18" customHeight="1">
      <c r="B130" s="655" t="s">
        <v>1586</v>
      </c>
      <c r="C130" s="656"/>
      <c r="D130" s="209">
        <f>+'Yard Items'!D13</f>
        <v>1950</v>
      </c>
      <c r="E130" s="204"/>
      <c r="F130" s="487">
        <f>SUM(E130-D130)</f>
        <v>-1950</v>
      </c>
    </row>
    <row r="131" spans="2:15" s="462" customFormat="1" ht="18" customHeight="1">
      <c r="B131" s="669" t="s">
        <v>472</v>
      </c>
      <c r="C131" s="670"/>
      <c r="D131" s="203">
        <f>SUM(D10:D130)</f>
        <v>743115</v>
      </c>
      <c r="E131" s="203">
        <f>SUM(E6:E130)</f>
        <v>0</v>
      </c>
      <c r="F131" s="492">
        <f>SUM(F10:F130)</f>
        <v>-743115</v>
      </c>
      <c r="G131" s="493"/>
    </row>
    <row r="132" spans="2:15" s="462" customFormat="1" ht="18" customHeight="1">
      <c r="B132" s="494"/>
      <c r="C132" s="495" t="s">
        <v>1587</v>
      </c>
      <c r="D132" s="671">
        <f>SUM(D131)</f>
        <v>743115</v>
      </c>
      <c r="E132" s="672"/>
      <c r="F132" s="673"/>
      <c r="I132" s="462">
        <v>747035</v>
      </c>
    </row>
    <row r="133" spans="2:15" s="462" customFormat="1" ht="18" customHeight="1">
      <c r="B133" s="494"/>
      <c r="C133" s="495"/>
      <c r="D133" s="496"/>
      <c r="E133" s="496"/>
      <c r="F133" s="497"/>
    </row>
    <row r="134" spans="2:15" s="462" customFormat="1" ht="18" customHeight="1" thickBot="1">
      <c r="B134" s="667"/>
      <c r="C134" s="668"/>
      <c r="D134" s="498"/>
      <c r="E134" s="498"/>
      <c r="F134" s="499"/>
      <c r="I134" s="462">
        <f>+I132-D131</f>
        <v>3920</v>
      </c>
    </row>
    <row r="135" spans="2:15" s="462" customFormat="1" ht="18" customHeight="1">
      <c r="B135" s="500"/>
      <c r="C135" s="501"/>
      <c r="D135" s="502"/>
      <c r="E135" s="502"/>
      <c r="F135" s="502"/>
    </row>
    <row r="138" spans="2:15" ht="18" customHeight="1">
      <c r="B138" s="560" t="s">
        <v>1588</v>
      </c>
    </row>
    <row r="139" spans="2:15" ht="18" customHeight="1">
      <c r="B139" s="773" t="s">
        <v>1035</v>
      </c>
      <c r="C139" s="774"/>
      <c r="D139" s="209">
        <f>CEILING(((18.83*'House extension'!D25)+(10*'House extension'!D26)+(2*'House extension'!D28)+('House extension'!D27)+(15*'House extension'!D29)+(16.5*'House extension'!D12)+(8*'House extension'!D13)+(3*'House extension'!D14)),5)</f>
        <v>10930</v>
      </c>
      <c r="E139" s="204"/>
      <c r="F139" s="487">
        <f t="shared" ref="F139:F143" si="10">SUM(E139-D139)</f>
        <v>-10930</v>
      </c>
    </row>
    <row r="140" spans="2:15" ht="18" customHeight="1">
      <c r="B140" s="773" t="s">
        <v>1589</v>
      </c>
      <c r="C140" s="774"/>
      <c r="D140" s="209">
        <f>10000+3000</f>
        <v>13000</v>
      </c>
      <c r="E140" s="204"/>
      <c r="F140" s="487">
        <f t="shared" si="10"/>
        <v>-13000</v>
      </c>
    </row>
    <row r="141" spans="2:15" ht="18" customHeight="1">
      <c r="B141" s="773" t="s">
        <v>1590</v>
      </c>
      <c r="C141" s="774"/>
      <c r="D141" s="209">
        <f>+CEILING(((3*'House extension'!D36)+Facades!D7),5)</f>
        <v>4455</v>
      </c>
      <c r="E141" s="204"/>
      <c r="F141" s="487">
        <f t="shared" si="10"/>
        <v>-4455</v>
      </c>
    </row>
    <row r="142" spans="2:15" ht="18" customHeight="1">
      <c r="B142" s="773" t="s">
        <v>1591</v>
      </c>
      <c r="C142" s="774"/>
      <c r="D142" s="209">
        <f>16*330</f>
        <v>5280</v>
      </c>
      <c r="E142" s="204"/>
      <c r="F142" s="487">
        <f t="shared" si="10"/>
        <v>-5280</v>
      </c>
      <c r="G142" s="449">
        <f>SUM(D139:D142)</f>
        <v>33665</v>
      </c>
    </row>
    <row r="143" spans="2:15" ht="18" customHeight="1">
      <c r="B143" s="769" t="s">
        <v>1592</v>
      </c>
      <c r="C143" s="770"/>
      <c r="D143" s="209">
        <f>+CEILING(((6.25*'House extension'!D25)+(5.5*'House extension'!D26)+('House extension'!D27*2)+(5.5*'House extension'!D29)),5)</f>
        <v>4015</v>
      </c>
      <c r="E143" s="204"/>
      <c r="F143" s="487">
        <f t="shared" si="10"/>
        <v>-4015</v>
      </c>
    </row>
    <row r="144" spans="2:15" ht="18" customHeight="1">
      <c r="B144" s="771" t="s">
        <v>1593</v>
      </c>
      <c r="C144" s="772"/>
      <c r="D144" s="209">
        <f>+CEILING((('House extension'!D36)+(3*Facades!D8)),5)</f>
        <v>635</v>
      </c>
      <c r="E144" s="204"/>
      <c r="F144" s="487">
        <f>SUM(E144-D144)</f>
        <v>-635</v>
      </c>
      <c r="H144" s="449" t="s">
        <v>1594</v>
      </c>
    </row>
    <row r="145" spans="2:7" ht="18" customHeight="1">
      <c r="B145" s="769" t="s">
        <v>1595</v>
      </c>
      <c r="C145" s="770"/>
      <c r="D145" s="209">
        <v>9000</v>
      </c>
      <c r="E145" s="204"/>
      <c r="F145" s="487">
        <f t="shared" ref="F145:F147" si="11">SUM(E145-D145)</f>
        <v>-9000</v>
      </c>
    </row>
    <row r="146" spans="2:7" ht="18" customHeight="1">
      <c r="B146" s="769" t="s">
        <v>1596</v>
      </c>
      <c r="C146" s="770"/>
      <c r="D146" s="209">
        <f>5*330</f>
        <v>1650</v>
      </c>
      <c r="E146" s="204"/>
      <c r="F146" s="487">
        <f t="shared" si="11"/>
        <v>-1650</v>
      </c>
    </row>
    <row r="147" spans="2:7" ht="18" customHeight="1">
      <c r="B147" s="771" t="s">
        <v>1597</v>
      </c>
      <c r="C147" s="772"/>
      <c r="D147" s="209">
        <v>2000</v>
      </c>
      <c r="E147" s="204"/>
      <c r="F147" s="487">
        <f t="shared" si="11"/>
        <v>-2000</v>
      </c>
      <c r="G147" s="449">
        <f>SUM(D143:D147)</f>
        <v>17300</v>
      </c>
    </row>
    <row r="148" spans="2:7" ht="18" customHeight="1">
      <c r="D148" s="209"/>
    </row>
  </sheetData>
  <mergeCells count="140">
    <mergeCell ref="B8:C8"/>
    <mergeCell ref="B9:C9"/>
    <mergeCell ref="B10:C10"/>
    <mergeCell ref="B11:F11"/>
    <mergeCell ref="B12:F12"/>
    <mergeCell ref="B13:C13"/>
    <mergeCell ref="B2:C2"/>
    <mergeCell ref="D3:F3"/>
    <mergeCell ref="C4:F4"/>
    <mergeCell ref="B6:F6"/>
    <mergeCell ref="B7:C7"/>
    <mergeCell ref="B20:C20"/>
    <mergeCell ref="B21:C21"/>
    <mergeCell ref="B22:F22"/>
    <mergeCell ref="B23:C23"/>
    <mergeCell ref="B24:F24"/>
    <mergeCell ref="B25:C25"/>
    <mergeCell ref="B14:F14"/>
    <mergeCell ref="B15:C15"/>
    <mergeCell ref="B16:C16"/>
    <mergeCell ref="B17:C17"/>
    <mergeCell ref="B18:F18"/>
    <mergeCell ref="B19:F19"/>
    <mergeCell ref="B32:C32"/>
    <mergeCell ref="B33:F33"/>
    <mergeCell ref="B34:C34"/>
    <mergeCell ref="B35:C35"/>
    <mergeCell ref="B36:C36"/>
    <mergeCell ref="B37:C37"/>
    <mergeCell ref="B26:C26"/>
    <mergeCell ref="B27:C27"/>
    <mergeCell ref="B28:C28"/>
    <mergeCell ref="B29:C29"/>
    <mergeCell ref="B30:C30"/>
    <mergeCell ref="B31:C31"/>
    <mergeCell ref="B44:C44"/>
    <mergeCell ref="B45:F45"/>
    <mergeCell ref="B46:C46"/>
    <mergeCell ref="B47:C47"/>
    <mergeCell ref="B48:C48"/>
    <mergeCell ref="B49:C49"/>
    <mergeCell ref="B38:C38"/>
    <mergeCell ref="B39:C39"/>
    <mergeCell ref="B40:C40"/>
    <mergeCell ref="B41:C41"/>
    <mergeCell ref="B42:C42"/>
    <mergeCell ref="B43:C43"/>
    <mergeCell ref="B56:C56"/>
    <mergeCell ref="B57:F57"/>
    <mergeCell ref="B58:C58"/>
    <mergeCell ref="B59:C59"/>
    <mergeCell ref="B60:C60"/>
    <mergeCell ref="B61:F61"/>
    <mergeCell ref="B50:C50"/>
    <mergeCell ref="B51:C51"/>
    <mergeCell ref="B52:C52"/>
    <mergeCell ref="B53:C53"/>
    <mergeCell ref="B54:C54"/>
    <mergeCell ref="B55:C55"/>
    <mergeCell ref="B68:C68"/>
    <mergeCell ref="B69:C69"/>
    <mergeCell ref="B70:C70"/>
    <mergeCell ref="B71:C71"/>
    <mergeCell ref="B72:C72"/>
    <mergeCell ref="B73:F73"/>
    <mergeCell ref="B62:C62"/>
    <mergeCell ref="B63:C63"/>
    <mergeCell ref="B64:C64"/>
    <mergeCell ref="B65:C65"/>
    <mergeCell ref="B66:C66"/>
    <mergeCell ref="B67:C67"/>
    <mergeCell ref="B80:C80"/>
    <mergeCell ref="B81:C81"/>
    <mergeCell ref="B82:C82"/>
    <mergeCell ref="B83:C83"/>
    <mergeCell ref="B84:C84"/>
    <mergeCell ref="B85:C85"/>
    <mergeCell ref="B74:C74"/>
    <mergeCell ref="B75:C75"/>
    <mergeCell ref="B76:C76"/>
    <mergeCell ref="B77:C77"/>
    <mergeCell ref="B78:C78"/>
    <mergeCell ref="B79:F79"/>
    <mergeCell ref="B92:C92"/>
    <mergeCell ref="B93:C93"/>
    <mergeCell ref="B94:C94"/>
    <mergeCell ref="B95:C95"/>
    <mergeCell ref="B96:C96"/>
    <mergeCell ref="B97:C97"/>
    <mergeCell ref="B86:C86"/>
    <mergeCell ref="B87:C87"/>
    <mergeCell ref="B88:C88"/>
    <mergeCell ref="B89:C89"/>
    <mergeCell ref="B90:F90"/>
    <mergeCell ref="B91:C91"/>
    <mergeCell ref="B104:C104"/>
    <mergeCell ref="B105:C105"/>
    <mergeCell ref="B106:C106"/>
    <mergeCell ref="B107:C107"/>
    <mergeCell ref="B108:C108"/>
    <mergeCell ref="B109:C109"/>
    <mergeCell ref="B98:F98"/>
    <mergeCell ref="B99:C99"/>
    <mergeCell ref="B100:C100"/>
    <mergeCell ref="B101:C101"/>
    <mergeCell ref="B102:C102"/>
    <mergeCell ref="B103:F103"/>
    <mergeCell ref="B116:F116"/>
    <mergeCell ref="B117:C117"/>
    <mergeCell ref="B118:C118"/>
    <mergeCell ref="B119:C119"/>
    <mergeCell ref="B120:C120"/>
    <mergeCell ref="B121:F121"/>
    <mergeCell ref="B110:F110"/>
    <mergeCell ref="B111:C111"/>
    <mergeCell ref="B112:C112"/>
    <mergeCell ref="B113:C113"/>
    <mergeCell ref="B114:C114"/>
    <mergeCell ref="B115:C115"/>
    <mergeCell ref="B128:F128"/>
    <mergeCell ref="B129:C129"/>
    <mergeCell ref="B130:C130"/>
    <mergeCell ref="B131:C131"/>
    <mergeCell ref="D132:F132"/>
    <mergeCell ref="B134:C134"/>
    <mergeCell ref="B122:C122"/>
    <mergeCell ref="B123:C123"/>
    <mergeCell ref="B124:C124"/>
    <mergeCell ref="B125:C125"/>
    <mergeCell ref="B126:C126"/>
    <mergeCell ref="B127:C127"/>
    <mergeCell ref="B145:C145"/>
    <mergeCell ref="B146:C146"/>
    <mergeCell ref="B147:C147"/>
    <mergeCell ref="B139:C139"/>
    <mergeCell ref="B140:C140"/>
    <mergeCell ref="B141:C141"/>
    <mergeCell ref="B142:C142"/>
    <mergeCell ref="B143:C143"/>
    <mergeCell ref="B144:C14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5F7DE-9CF5-4D77-B62A-5001898AE201}">
  <dimension ref="B1:R47"/>
  <sheetViews>
    <sheetView topLeftCell="A9" workbookViewId="0">
      <selection activeCell="D20" sqref="D20"/>
    </sheetView>
  </sheetViews>
  <sheetFormatPr defaultColWidth="9.140625" defaultRowHeight="18" customHeight="1"/>
  <cols>
    <col min="1" max="1" width="9.140625" style="449"/>
    <col min="2" max="2" width="15" style="449" customWidth="1"/>
    <col min="3" max="3" width="50.7109375" style="449" customWidth="1"/>
    <col min="4" max="4" width="9.5703125" style="450" customWidth="1"/>
    <col min="5" max="6" width="9.5703125" style="449" customWidth="1"/>
    <col min="7" max="7" width="9.140625" style="449"/>
    <col min="8" max="8" width="62.7109375" style="449" customWidth="1"/>
    <col min="9" max="9" width="12.7109375" style="449" customWidth="1"/>
    <col min="10" max="16384" width="9.140625" style="449"/>
  </cols>
  <sheetData>
    <row r="1" spans="2:18" ht="15.75">
      <c r="B1" s="464"/>
      <c r="C1" s="464"/>
      <c r="D1" s="449"/>
      <c r="I1" s="450"/>
    </row>
    <row r="2" spans="2:18" ht="27" thickBot="1">
      <c r="B2" s="696" t="s">
        <v>1598</v>
      </c>
      <c r="C2" s="696"/>
      <c r="D2" s="469"/>
      <c r="E2" s="469"/>
      <c r="F2" s="469"/>
      <c r="H2" s="462"/>
      <c r="I2" s="450"/>
    </row>
    <row r="3" spans="2:18" ht="18" customHeight="1">
      <c r="B3" s="165" t="s">
        <v>436</v>
      </c>
      <c r="C3" s="471" t="s">
        <v>1599</v>
      </c>
      <c r="D3" s="786" t="s">
        <v>1468</v>
      </c>
      <c r="E3" s="713"/>
      <c r="F3" s="714"/>
      <c r="H3" s="462"/>
      <c r="I3" s="450"/>
      <c r="J3" s="547"/>
      <c r="L3" s="547"/>
      <c r="M3" s="547"/>
      <c r="N3" s="547"/>
      <c r="O3" s="547"/>
      <c r="P3" s="547"/>
      <c r="Q3" s="547"/>
      <c r="R3" s="548"/>
    </row>
    <row r="4" spans="2:18" ht="18" customHeight="1">
      <c r="B4" s="476" t="s">
        <v>305</v>
      </c>
      <c r="C4" s="700" t="s">
        <v>1600</v>
      </c>
      <c r="D4" s="700"/>
      <c r="E4" s="700"/>
      <c r="F4" s="701"/>
      <c r="H4" s="461"/>
      <c r="I4" s="549"/>
      <c r="J4" s="547"/>
      <c r="K4" s="461"/>
      <c r="L4" s="550"/>
      <c r="M4" s="550"/>
      <c r="N4" s="550"/>
      <c r="O4" s="550"/>
      <c r="P4" s="550"/>
      <c r="Q4" s="550"/>
      <c r="R4" s="551"/>
    </row>
    <row r="5" spans="2:18" ht="15.75">
      <c r="B5" s="482"/>
      <c r="C5" s="483"/>
      <c r="D5" s="484" t="s">
        <v>441</v>
      </c>
      <c r="E5" s="484" t="s">
        <v>442</v>
      </c>
      <c r="F5" s="485" t="s">
        <v>443</v>
      </c>
      <c r="H5" s="462"/>
      <c r="I5" s="450"/>
      <c r="J5" s="547"/>
      <c r="K5" s="461"/>
      <c r="L5" s="550"/>
      <c r="M5" s="550"/>
      <c r="N5" s="550"/>
      <c r="O5" s="550"/>
      <c r="P5" s="550"/>
      <c r="Q5" s="550"/>
      <c r="R5" s="551"/>
    </row>
    <row r="6" spans="2:18" ht="18" customHeight="1">
      <c r="B6" s="661" t="s">
        <v>1470</v>
      </c>
      <c r="C6" s="662"/>
      <c r="D6" s="662"/>
      <c r="E6" s="662"/>
      <c r="F6" s="663"/>
      <c r="H6" s="458"/>
      <c r="I6" s="459"/>
      <c r="J6" s="459"/>
    </row>
    <row r="7" spans="2:18" ht="18" customHeight="1">
      <c r="B7" s="687" t="s">
        <v>1471</v>
      </c>
      <c r="C7" s="688"/>
      <c r="D7" s="209">
        <f>+'1.HOUSE PRICE'!B66</f>
        <v>370290</v>
      </c>
      <c r="E7" s="204"/>
      <c r="F7" s="487">
        <f t="shared" ref="F7:F10" si="0">SUM(E7-D7)</f>
        <v>-370290</v>
      </c>
    </row>
    <row r="8" spans="2:18" ht="18" customHeight="1">
      <c r="B8" s="687" t="s">
        <v>1472</v>
      </c>
      <c r="C8" s="688"/>
      <c r="D8" s="209">
        <f>+'1.HOUSE PRICE'!D66</f>
        <v>9250</v>
      </c>
      <c r="E8" s="204"/>
      <c r="F8" s="487">
        <f t="shared" si="0"/>
        <v>-9250</v>
      </c>
      <c r="H8" s="463"/>
      <c r="I8" s="463"/>
    </row>
    <row r="9" spans="2:18" ht="18" customHeight="1">
      <c r="B9" s="687" t="s">
        <v>1473</v>
      </c>
      <c r="C9" s="688"/>
      <c r="D9" s="209">
        <f>+'1.HOUSE PRICE'!E66</f>
        <v>4660</v>
      </c>
      <c r="E9" s="204"/>
      <c r="F9" s="487">
        <f t="shared" si="0"/>
        <v>-4660</v>
      </c>
      <c r="G9" s="461"/>
    </row>
    <row r="10" spans="2:18" ht="18" customHeight="1">
      <c r="B10" s="781" t="s">
        <v>173</v>
      </c>
      <c r="C10" s="782"/>
      <c r="D10" s="552">
        <f>SUM(D7:D9)</f>
        <v>384200</v>
      </c>
      <c r="E10" s="553"/>
      <c r="F10" s="554">
        <f t="shared" si="0"/>
        <v>-384200</v>
      </c>
    </row>
    <row r="11" spans="2:18" ht="18" customHeight="1">
      <c r="B11" s="687"/>
      <c r="C11" s="688"/>
      <c r="D11" s="209"/>
      <c r="E11" s="204"/>
      <c r="F11" s="487"/>
      <c r="I11" s="462"/>
      <c r="J11" s="462"/>
      <c r="K11" s="462"/>
      <c r="L11" s="462"/>
      <c r="M11" s="462"/>
      <c r="N11" s="462"/>
      <c r="O11" s="462"/>
      <c r="P11" s="462"/>
      <c r="Q11" s="462"/>
      <c r="R11" s="462"/>
    </row>
    <row r="12" spans="2:18" ht="18" customHeight="1">
      <c r="B12" s="661" t="s">
        <v>1474</v>
      </c>
      <c r="C12" s="662"/>
      <c r="D12" s="662"/>
      <c r="E12" s="662"/>
      <c r="F12" s="663"/>
    </row>
    <row r="13" spans="2:18" ht="18" customHeight="1">
      <c r="B13" s="687" t="s">
        <v>1475</v>
      </c>
      <c r="C13" s="688"/>
      <c r="D13" s="209" t="s">
        <v>1476</v>
      </c>
      <c r="E13" s="204"/>
      <c r="F13" s="487">
        <v>0</v>
      </c>
    </row>
    <row r="14" spans="2:18" ht="18" customHeight="1">
      <c r="B14" s="661" t="s">
        <v>1477</v>
      </c>
      <c r="C14" s="662"/>
      <c r="D14" s="662"/>
      <c r="E14" s="662"/>
      <c r="F14" s="663"/>
    </row>
    <row r="15" spans="2:18" ht="18" customHeight="1">
      <c r="B15" s="687" t="s">
        <v>1428</v>
      </c>
      <c r="C15" s="688"/>
      <c r="D15" s="209" t="s">
        <v>309</v>
      </c>
      <c r="E15" s="204"/>
      <c r="F15" s="487">
        <v>0</v>
      </c>
    </row>
    <row r="16" spans="2:18" ht="18" customHeight="1">
      <c r="B16" s="777" t="s">
        <v>1436</v>
      </c>
      <c r="C16" s="778"/>
      <c r="D16" s="209">
        <v>4500</v>
      </c>
      <c r="E16" s="204"/>
      <c r="F16" s="487">
        <f>SUM(E16-D16)</f>
        <v>-4500</v>
      </c>
      <c r="H16" s="449" t="s">
        <v>1479</v>
      </c>
    </row>
    <row r="17" spans="2:8" ht="18" customHeight="1">
      <c r="B17" s="687" t="s">
        <v>1480</v>
      </c>
      <c r="C17" s="688"/>
      <c r="D17" s="209">
        <v>5500</v>
      </c>
      <c r="E17" s="204"/>
      <c r="F17" s="487">
        <f>SUM(E17-D17)</f>
        <v>-5500</v>
      </c>
    </row>
    <row r="18" spans="2:8" ht="18" customHeight="1">
      <c r="B18" s="689" t="s">
        <v>460</v>
      </c>
      <c r="C18" s="690"/>
      <c r="D18" s="690"/>
      <c r="E18" s="690"/>
      <c r="F18" s="691"/>
    </row>
    <row r="19" spans="2:8" ht="18" customHeight="1">
      <c r="B19" s="661" t="s">
        <v>332</v>
      </c>
      <c r="C19" s="662"/>
      <c r="D19" s="662"/>
      <c r="E19" s="662"/>
      <c r="F19" s="663"/>
    </row>
    <row r="20" spans="2:8" ht="18" customHeight="1">
      <c r="B20" s="687" t="s">
        <v>1601</v>
      </c>
      <c r="C20" s="779"/>
      <c r="D20" s="209">
        <v>29500</v>
      </c>
      <c r="E20" s="204"/>
      <c r="F20" s="487">
        <f>SUM(E20-D20)</f>
        <v>-29500</v>
      </c>
    </row>
    <row r="21" spans="2:8" ht="18" customHeight="1">
      <c r="B21" s="655" t="s">
        <v>1602</v>
      </c>
      <c r="C21" s="656"/>
      <c r="D21" s="209">
        <v>1480</v>
      </c>
      <c r="E21" s="204"/>
      <c r="F21" s="487">
        <f>SUM(E21-D21)</f>
        <v>-1480</v>
      </c>
    </row>
    <row r="22" spans="2:8" ht="18" customHeight="1">
      <c r="B22" s="775" t="s">
        <v>1603</v>
      </c>
      <c r="C22" s="776"/>
      <c r="D22" s="209">
        <v>1000</v>
      </c>
      <c r="E22" s="204"/>
      <c r="F22" s="487">
        <f>SUM(E22-D22)</f>
        <v>-1000</v>
      </c>
      <c r="H22" s="449" t="s">
        <v>1604</v>
      </c>
    </row>
    <row r="23" spans="2:8" ht="18" customHeight="1">
      <c r="B23" s="687" t="s">
        <v>1605</v>
      </c>
      <c r="C23" s="779"/>
      <c r="D23" s="209">
        <v>250</v>
      </c>
      <c r="E23" s="204"/>
      <c r="F23" s="487">
        <f>SUM(E23-D23)</f>
        <v>-250</v>
      </c>
    </row>
    <row r="24" spans="2:8" s="462" customFormat="1" ht="12.75">
      <c r="B24" s="661" t="s">
        <v>461</v>
      </c>
      <c r="C24" s="662"/>
      <c r="D24" s="662"/>
      <c r="E24" s="662"/>
      <c r="F24" s="663"/>
    </row>
    <row r="25" spans="2:8" ht="18" customHeight="1">
      <c r="B25" s="687" t="s">
        <v>1606</v>
      </c>
      <c r="C25" s="779"/>
      <c r="D25" s="209">
        <f>+Lifestyle!BL72*'House extension'!D17</f>
        <v>4930</v>
      </c>
      <c r="E25" s="204"/>
      <c r="F25" s="487">
        <f>SUM(E25-D25)</f>
        <v>-4930</v>
      </c>
    </row>
    <row r="26" spans="2:8" ht="18" customHeight="1">
      <c r="B26" s="661" t="s">
        <v>462</v>
      </c>
      <c r="C26" s="662"/>
      <c r="D26" s="662"/>
      <c r="E26" s="662"/>
      <c r="F26" s="663"/>
    </row>
    <row r="27" spans="2:8" ht="18" customHeight="1">
      <c r="B27" s="687" t="s">
        <v>1607</v>
      </c>
      <c r="C27" s="688"/>
      <c r="D27" s="209">
        <f>+CEILING((('House extension'!D9*2)+'Swing Doors'!D26+(Cabinetry!E10+Cabinetry!E5+Cabinetry!E6*3)+'Showers, Baths &amp; Toilets'!D21+Electrical!D24+Electrical!D30-(('Robes &amp; Shelving'!D9*9/(1.36)*1.1))),5)</f>
        <v>5545</v>
      </c>
      <c r="E27" s="204"/>
      <c r="F27" s="487">
        <f t="shared" ref="F27:F33" si="1">SUM(E27-D27)</f>
        <v>-5545</v>
      </c>
    </row>
    <row r="28" spans="2:8" ht="18" customHeight="1">
      <c r="B28" s="687" t="s">
        <v>1608</v>
      </c>
      <c r="C28" s="688"/>
      <c r="D28" s="209">
        <v>700</v>
      </c>
      <c r="E28" s="204"/>
      <c r="F28" s="487">
        <f t="shared" si="1"/>
        <v>-700</v>
      </c>
    </row>
    <row r="29" spans="2:8" ht="18" customHeight="1">
      <c r="B29" s="687" t="s">
        <v>1609</v>
      </c>
      <c r="C29" s="688"/>
      <c r="D29" s="209">
        <f>+'Windows &amp; Sliding Doors'!D15</f>
        <v>450</v>
      </c>
      <c r="E29" s="204"/>
      <c r="F29" s="487">
        <f>SUM(E29-D29)</f>
        <v>-450</v>
      </c>
    </row>
    <row r="30" spans="2:8" ht="18" customHeight="1">
      <c r="B30" s="687" t="s">
        <v>1610</v>
      </c>
      <c r="C30" s="688"/>
      <c r="D30" s="209">
        <f>+'Windows &amp; Sliding Doors'!D17-'Windows &amp; Sliding Doors'!D26</f>
        <v>-1100</v>
      </c>
      <c r="E30" s="204"/>
      <c r="F30" s="487">
        <f>SUM(E30-D30)</f>
        <v>1100</v>
      </c>
    </row>
    <row r="31" spans="2:8" ht="18" customHeight="1">
      <c r="B31" s="775" t="s">
        <v>1611</v>
      </c>
      <c r="C31" s="776"/>
      <c r="D31" s="209">
        <v>1200</v>
      </c>
      <c r="E31" s="204"/>
      <c r="F31" s="487">
        <f>SUM(E31-D31)</f>
        <v>-1200</v>
      </c>
      <c r="H31" s="449" t="s">
        <v>1612</v>
      </c>
    </row>
    <row r="32" spans="2:8" ht="18" customHeight="1">
      <c r="B32" s="687" t="s">
        <v>1506</v>
      </c>
      <c r="C32" s="688"/>
      <c r="D32" s="209">
        <v>2000</v>
      </c>
      <c r="E32" s="204"/>
      <c r="F32" s="487">
        <f>SUM(E32-D32)</f>
        <v>-2000</v>
      </c>
    </row>
    <row r="33" spans="2:9" ht="18" customHeight="1">
      <c r="B33" s="777" t="s">
        <v>1507</v>
      </c>
      <c r="C33" s="778"/>
      <c r="D33" s="209">
        <v>2600</v>
      </c>
      <c r="E33" s="204"/>
      <c r="F33" s="487">
        <f t="shared" si="1"/>
        <v>-2600</v>
      </c>
      <c r="H33" s="449" t="s">
        <v>1508</v>
      </c>
    </row>
    <row r="34" spans="2:9" s="462" customFormat="1" ht="18" customHeight="1">
      <c r="B34" s="661" t="s">
        <v>400</v>
      </c>
      <c r="C34" s="662"/>
      <c r="D34" s="662"/>
      <c r="E34" s="662"/>
      <c r="F34" s="663"/>
    </row>
    <row r="35" spans="2:9" s="462" customFormat="1" ht="18" customHeight="1">
      <c r="B35" s="655" t="s">
        <v>1613</v>
      </c>
      <c r="C35" s="656"/>
      <c r="D35" s="209">
        <f>19*Electrical!D30+45*Electrical!D32+45*Electrical!D33</f>
        <v>3225</v>
      </c>
      <c r="E35" s="204"/>
      <c r="F35" s="487">
        <f>SUM(E35-D35)</f>
        <v>-3225</v>
      </c>
      <c r="H35" s="462" t="s">
        <v>1614</v>
      </c>
      <c r="I35" s="563"/>
    </row>
    <row r="36" spans="2:9" s="462" customFormat="1" ht="18" customHeight="1">
      <c r="B36" s="655" t="s">
        <v>1615</v>
      </c>
      <c r="C36" s="656"/>
      <c r="D36" s="209">
        <f>600+Electrical!D30+Electrical!D31</f>
        <v>765</v>
      </c>
      <c r="E36" s="204"/>
      <c r="F36" s="487">
        <f>SUM(E36-D36)</f>
        <v>-765</v>
      </c>
    </row>
    <row r="37" spans="2:9" s="462" customFormat="1" ht="18" customHeight="1">
      <c r="B37" s="655" t="s">
        <v>1616</v>
      </c>
      <c r="C37" s="656"/>
      <c r="D37" s="209">
        <f>+Electrical!D17</f>
        <v>590</v>
      </c>
      <c r="E37" s="204"/>
      <c r="F37" s="487">
        <f>SUM(E37-D37)</f>
        <v>-590</v>
      </c>
    </row>
    <row r="38" spans="2:9" s="462" customFormat="1" ht="18" customHeight="1">
      <c r="B38" s="661" t="s">
        <v>425</v>
      </c>
      <c r="C38" s="662"/>
      <c r="D38" s="662"/>
      <c r="E38" s="662"/>
      <c r="F38" s="663"/>
    </row>
    <row r="39" spans="2:9" s="462" customFormat="1" ht="18" customHeight="1">
      <c r="B39" s="655" t="s">
        <v>933</v>
      </c>
      <c r="C39" s="656"/>
      <c r="D39" s="209">
        <f>+'Yard Items'!D33</f>
        <v>400</v>
      </c>
      <c r="E39" s="204"/>
      <c r="F39" s="487">
        <f>SUM(E39-D39)</f>
        <v>-400</v>
      </c>
    </row>
    <row r="40" spans="2:9" s="462" customFormat="1" ht="18" customHeight="1">
      <c r="B40" s="661" t="s">
        <v>427</v>
      </c>
      <c r="C40" s="662"/>
      <c r="D40" s="662"/>
      <c r="E40" s="662"/>
      <c r="F40" s="663"/>
    </row>
    <row r="41" spans="2:9" s="462" customFormat="1" ht="18" customHeight="1">
      <c r="B41" s="775" t="s">
        <v>1619</v>
      </c>
      <c r="C41" s="776"/>
      <c r="D41" s="209">
        <f>137*'Yard Items'!D10</f>
        <v>26030</v>
      </c>
      <c r="E41" s="204"/>
      <c r="F41" s="487">
        <f>SUM(E41-D41)</f>
        <v>-26030</v>
      </c>
      <c r="H41" s="462" t="s">
        <v>1585</v>
      </c>
    </row>
    <row r="42" spans="2:9" s="462" customFormat="1" ht="18" customHeight="1">
      <c r="B42" s="655" t="s">
        <v>1617</v>
      </c>
      <c r="C42" s="656"/>
      <c r="D42" s="209">
        <f>+'Yard Items'!D13</f>
        <v>1950</v>
      </c>
      <c r="E42" s="204"/>
      <c r="F42" s="487">
        <f>SUM(E42-D42)</f>
        <v>-1950</v>
      </c>
    </row>
    <row r="43" spans="2:9" s="462" customFormat="1" ht="18" customHeight="1">
      <c r="B43" s="669" t="s">
        <v>472</v>
      </c>
      <c r="C43" s="670"/>
      <c r="D43" s="203">
        <f>SUM(D10:D42)</f>
        <v>475715</v>
      </c>
      <c r="E43" s="203">
        <f>SUM(E6:E42)</f>
        <v>0</v>
      </c>
      <c r="F43" s="492">
        <f>SUM(F10:F42)</f>
        <v>-475715</v>
      </c>
      <c r="G43" s="493"/>
    </row>
    <row r="44" spans="2:9" s="462" customFormat="1" ht="15.75">
      <c r="B44" s="494"/>
      <c r="C44" s="495" t="s">
        <v>1587</v>
      </c>
      <c r="D44" s="671">
        <f>SUM(D43)</f>
        <v>475715</v>
      </c>
      <c r="E44" s="672"/>
      <c r="F44" s="673"/>
    </row>
    <row r="45" spans="2:9" s="462" customFormat="1" ht="15.75">
      <c r="B45" s="494"/>
      <c r="C45" s="495"/>
      <c r="D45" s="496"/>
      <c r="E45" s="496"/>
      <c r="F45" s="497"/>
    </row>
    <row r="46" spans="2:9" s="462" customFormat="1" ht="16.5" thickBot="1">
      <c r="B46" s="667"/>
      <c r="C46" s="668"/>
      <c r="D46" s="498"/>
      <c r="E46" s="498"/>
      <c r="F46" s="499"/>
    </row>
    <row r="47" spans="2:9" s="462" customFormat="1" ht="15.75">
      <c r="B47" s="500"/>
      <c r="C47" s="501"/>
      <c r="D47" s="502"/>
      <c r="E47" s="502"/>
      <c r="F47" s="502"/>
    </row>
  </sheetData>
  <mergeCells count="43">
    <mergeCell ref="B13:C13"/>
    <mergeCell ref="B2:C2"/>
    <mergeCell ref="D3:F3"/>
    <mergeCell ref="C4:F4"/>
    <mergeCell ref="B6:F6"/>
    <mergeCell ref="B7:C7"/>
    <mergeCell ref="B8:C8"/>
    <mergeCell ref="B9:C9"/>
    <mergeCell ref="B10:C10"/>
    <mergeCell ref="B11:C11"/>
    <mergeCell ref="B12:F12"/>
    <mergeCell ref="B25:C25"/>
    <mergeCell ref="B14:F14"/>
    <mergeCell ref="B15:C15"/>
    <mergeCell ref="B16:C16"/>
    <mergeCell ref="B17:C17"/>
    <mergeCell ref="B18:F18"/>
    <mergeCell ref="B19:F19"/>
    <mergeCell ref="B20:C20"/>
    <mergeCell ref="B21:C21"/>
    <mergeCell ref="B22:C22"/>
    <mergeCell ref="B23:C23"/>
    <mergeCell ref="B24:F24"/>
    <mergeCell ref="B37:C37"/>
    <mergeCell ref="B26:F26"/>
    <mergeCell ref="B27:C27"/>
    <mergeCell ref="B28:C28"/>
    <mergeCell ref="B29:C29"/>
    <mergeCell ref="B30:C30"/>
    <mergeCell ref="B31:C31"/>
    <mergeCell ref="B32:C32"/>
    <mergeCell ref="B33:C33"/>
    <mergeCell ref="B34:F34"/>
    <mergeCell ref="B35:C35"/>
    <mergeCell ref="B36:C36"/>
    <mergeCell ref="D44:F44"/>
    <mergeCell ref="B46:C46"/>
    <mergeCell ref="B38:F38"/>
    <mergeCell ref="B39:C39"/>
    <mergeCell ref="B40:F40"/>
    <mergeCell ref="B41:C41"/>
    <mergeCell ref="B42:C42"/>
    <mergeCell ref="B43:C43"/>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12B1B-7F4A-45DA-8D2C-7E9A0BE13EBA}">
  <sheetPr codeName="Sheet23">
    <tabColor rgb="FFFFFF00"/>
    <pageSetUpPr fitToPage="1"/>
  </sheetPr>
  <dimension ref="A1:R374"/>
  <sheetViews>
    <sheetView topLeftCell="A183" zoomScaleNormal="100" workbookViewId="0">
      <selection activeCell="H199" sqref="H199"/>
    </sheetView>
  </sheetViews>
  <sheetFormatPr defaultColWidth="9.140625" defaultRowHeight="18" customHeight="1"/>
  <cols>
    <col min="1" max="1" width="3.7109375" style="155" customWidth="1"/>
    <col min="2" max="2" width="15" style="40" customWidth="1"/>
    <col min="3" max="3" width="50.7109375" style="40" customWidth="1"/>
    <col min="4" max="4" width="9.5703125" style="135" customWidth="1"/>
    <col min="5" max="6" width="9.5703125" style="40" customWidth="1"/>
    <col min="7" max="7" width="9.140625" style="40"/>
    <col min="8" max="8" width="62.7109375" style="40" customWidth="1"/>
    <col min="9" max="9" width="12.7109375" style="40" customWidth="1"/>
    <col min="10" max="16384" width="9.140625" style="40"/>
  </cols>
  <sheetData>
    <row r="1" spans="2:10" ht="18" customHeight="1" thickBot="1"/>
    <row r="2" spans="2:10" ht="18" customHeight="1">
      <c r="B2" s="136"/>
      <c r="C2" s="137"/>
      <c r="D2" s="138"/>
      <c r="E2" s="137"/>
      <c r="F2" s="139"/>
    </row>
    <row r="3" spans="2:10" ht="18" customHeight="1">
      <c r="B3" s="140"/>
      <c r="C3" s="141"/>
      <c r="D3" s="142"/>
      <c r="E3" s="141"/>
      <c r="F3" s="143"/>
      <c r="G3" s="141"/>
    </row>
    <row r="4" spans="2:10" ht="39" customHeight="1">
      <c r="B4" s="144" t="s">
        <v>270</v>
      </c>
      <c r="C4" s="141"/>
      <c r="D4" s="145"/>
      <c r="E4" s="146"/>
      <c r="F4" s="147"/>
      <c r="G4" s="141"/>
      <c r="H4" s="141"/>
      <c r="I4" s="141"/>
    </row>
    <row r="5" spans="2:10" ht="11.25" customHeight="1">
      <c r="B5" s="148" t="s">
        <v>271</v>
      </c>
      <c r="C5" s="141"/>
      <c r="E5" s="149" t="s">
        <v>272</v>
      </c>
      <c r="F5" s="143"/>
      <c r="G5" s="146"/>
      <c r="H5" s="141"/>
      <c r="I5" s="141"/>
    </row>
    <row r="6" spans="2:10" ht="11.25" customHeight="1">
      <c r="B6" s="148" t="s">
        <v>273</v>
      </c>
      <c r="C6" s="141"/>
      <c r="E6" s="149" t="s">
        <v>274</v>
      </c>
      <c r="F6" s="143"/>
      <c r="G6" s="146"/>
      <c r="H6" s="141"/>
      <c r="I6" s="141"/>
      <c r="J6" s="141"/>
    </row>
    <row r="7" spans="2:10" ht="13.5" customHeight="1">
      <c r="B7" s="148" t="s">
        <v>275</v>
      </c>
      <c r="C7" s="141"/>
      <c r="E7" s="149" t="s">
        <v>276</v>
      </c>
      <c r="F7" s="143"/>
      <c r="G7" s="146"/>
      <c r="H7" s="141"/>
      <c r="I7" s="141"/>
      <c r="J7" s="141"/>
    </row>
    <row r="8" spans="2:10" ht="18" customHeight="1">
      <c r="B8" s="150"/>
      <c r="C8" s="141"/>
      <c r="D8" s="151"/>
      <c r="E8" s="141"/>
      <c r="F8" s="143"/>
      <c r="G8" s="141"/>
      <c r="H8" s="141"/>
      <c r="I8" s="141"/>
      <c r="J8" s="141"/>
    </row>
    <row r="9" spans="2:10" ht="18" customHeight="1">
      <c r="B9" s="152" t="s">
        <v>277</v>
      </c>
      <c r="C9" s="153">
        <f>+C48</f>
        <v>0</v>
      </c>
      <c r="D9" s="151"/>
      <c r="E9" s="141"/>
      <c r="F9" s="143"/>
      <c r="G9" s="141"/>
      <c r="H9" s="141"/>
      <c r="I9" s="141"/>
      <c r="J9" s="141"/>
    </row>
    <row r="10" spans="2:10" ht="18" customHeight="1">
      <c r="B10" s="150"/>
      <c r="C10" s="141"/>
      <c r="D10" s="151"/>
      <c r="E10" s="141"/>
      <c r="F10" s="143"/>
      <c r="G10" s="141"/>
      <c r="H10" s="141"/>
      <c r="I10" s="141"/>
      <c r="J10" s="141"/>
    </row>
    <row r="11" spans="2:10" ht="18" customHeight="1">
      <c r="B11" s="154" t="s">
        <v>278</v>
      </c>
      <c r="C11" s="141"/>
      <c r="D11" s="151"/>
      <c r="E11" s="141"/>
      <c r="F11" s="143"/>
      <c r="G11" s="141"/>
      <c r="H11" s="141"/>
      <c r="I11" s="141"/>
      <c r="J11" s="141"/>
    </row>
    <row r="12" spans="2:10" ht="18" customHeight="1">
      <c r="B12" s="150"/>
      <c r="C12" s="141"/>
      <c r="D12" s="151"/>
      <c r="E12" s="141"/>
      <c r="F12" s="143"/>
      <c r="G12" s="141"/>
      <c r="H12" s="141"/>
      <c r="I12" s="141"/>
      <c r="J12" s="141"/>
    </row>
    <row r="13" spans="2:10" ht="18" customHeight="1">
      <c r="B13" s="150" t="s">
        <v>279</v>
      </c>
      <c r="C13" s="141"/>
      <c r="D13" s="151"/>
      <c r="E13" s="141"/>
      <c r="F13" s="143"/>
      <c r="G13" s="141"/>
      <c r="H13" s="141"/>
      <c r="I13" s="141"/>
      <c r="J13" s="141"/>
    </row>
    <row r="14" spans="2:10" ht="18" customHeight="1">
      <c r="B14" s="150" t="s">
        <v>280</v>
      </c>
      <c r="C14" s="141"/>
      <c r="D14" s="151"/>
      <c r="E14" s="141"/>
      <c r="F14" s="143"/>
      <c r="G14" s="141"/>
      <c r="H14" s="141"/>
      <c r="I14" s="141"/>
      <c r="J14" s="141"/>
    </row>
    <row r="15" spans="2:10" ht="18" customHeight="1">
      <c r="B15" s="150"/>
      <c r="C15" s="141"/>
      <c r="D15" s="151"/>
      <c r="E15" s="141"/>
      <c r="F15" s="143"/>
      <c r="G15" s="141"/>
      <c r="H15" s="141"/>
      <c r="I15" s="141"/>
      <c r="J15" s="141"/>
    </row>
    <row r="16" spans="2:10" ht="18" customHeight="1">
      <c r="B16" s="150" t="s">
        <v>281</v>
      </c>
      <c r="C16" s="141"/>
      <c r="D16" s="151"/>
      <c r="E16" s="141"/>
      <c r="F16" s="143"/>
      <c r="G16" s="141"/>
      <c r="H16" s="141"/>
      <c r="I16" s="141"/>
      <c r="J16" s="141"/>
    </row>
    <row r="17" spans="2:10" ht="18" customHeight="1">
      <c r="B17" s="150">
        <f>+C52</f>
        <v>0</v>
      </c>
      <c r="C17" s="141"/>
      <c r="D17" s="151"/>
      <c r="E17" s="141"/>
      <c r="F17" s="143"/>
      <c r="G17" s="141"/>
      <c r="H17" s="141"/>
      <c r="I17" s="141"/>
      <c r="J17" s="141"/>
    </row>
    <row r="18" spans="2:10" ht="18" customHeight="1">
      <c r="B18" s="150"/>
      <c r="C18" s="141"/>
      <c r="D18" s="151"/>
      <c r="E18" s="141"/>
      <c r="F18" s="143"/>
      <c r="G18" s="141"/>
      <c r="H18" s="141"/>
      <c r="I18" s="141"/>
      <c r="J18" s="141"/>
    </row>
    <row r="19" spans="2:10" ht="18" customHeight="1">
      <c r="B19" s="150" t="s">
        <v>282</v>
      </c>
      <c r="C19" s="141"/>
      <c r="D19" s="151"/>
      <c r="E19" s="141"/>
      <c r="F19" s="143"/>
      <c r="G19" s="141"/>
      <c r="H19" s="141"/>
      <c r="I19" s="141"/>
      <c r="J19" s="141"/>
    </row>
    <row r="20" spans="2:10" ht="18" customHeight="1">
      <c r="B20" s="150" t="s">
        <v>283</v>
      </c>
      <c r="C20" s="141"/>
      <c r="D20" s="151"/>
      <c r="E20" s="141"/>
      <c r="F20" s="143"/>
      <c r="G20" s="141"/>
      <c r="H20" s="141"/>
      <c r="I20" s="141"/>
      <c r="J20" s="141"/>
    </row>
    <row r="21" spans="2:10" ht="18" customHeight="1">
      <c r="B21" s="150"/>
      <c r="C21" s="141"/>
      <c r="D21" s="151"/>
      <c r="E21" s="141"/>
      <c r="F21" s="143"/>
      <c r="G21" s="141"/>
      <c r="H21" s="141"/>
      <c r="I21" s="141"/>
      <c r="J21" s="141"/>
    </row>
    <row r="22" spans="2:10" ht="18" customHeight="1">
      <c r="B22" s="150" t="s">
        <v>284</v>
      </c>
      <c r="C22" s="141"/>
      <c r="D22" s="151"/>
      <c r="E22" s="141"/>
      <c r="F22" s="143"/>
      <c r="G22" s="141"/>
      <c r="H22" s="141"/>
      <c r="I22" s="141"/>
      <c r="J22" s="141"/>
    </row>
    <row r="23" spans="2:10" ht="18" customHeight="1">
      <c r="B23" s="150" t="s">
        <v>285</v>
      </c>
      <c r="C23" s="141"/>
      <c r="D23" s="151"/>
      <c r="E23" s="141"/>
      <c r="F23" s="143"/>
      <c r="G23" s="141"/>
      <c r="H23" s="141"/>
      <c r="I23" s="141"/>
      <c r="J23" s="141"/>
    </row>
    <row r="24" spans="2:10" ht="18" customHeight="1">
      <c r="B24" s="150" t="s">
        <v>286</v>
      </c>
      <c r="C24" s="141"/>
      <c r="D24" s="151"/>
      <c r="E24" s="141"/>
      <c r="F24" s="143"/>
      <c r="G24" s="141"/>
      <c r="H24" s="141"/>
      <c r="I24" s="141"/>
      <c r="J24" s="141"/>
    </row>
    <row r="25" spans="2:10" ht="18" customHeight="1">
      <c r="B25" s="150" t="s">
        <v>287</v>
      </c>
      <c r="C25" s="141"/>
      <c r="D25" s="151"/>
      <c r="E25" s="141"/>
      <c r="F25" s="143"/>
      <c r="G25" s="141"/>
      <c r="H25" s="141"/>
      <c r="I25" s="141"/>
      <c r="J25" s="141"/>
    </row>
    <row r="26" spans="2:10" ht="18" customHeight="1">
      <c r="B26" s="150"/>
      <c r="C26" s="141"/>
      <c r="D26" s="151"/>
      <c r="E26" s="141"/>
      <c r="F26" s="143"/>
      <c r="G26" s="141"/>
      <c r="H26" s="141"/>
      <c r="I26" s="141"/>
      <c r="J26" s="141"/>
    </row>
    <row r="27" spans="2:10" ht="18" customHeight="1">
      <c r="B27" s="150" t="s">
        <v>288</v>
      </c>
      <c r="C27" s="141"/>
      <c r="D27" s="151"/>
      <c r="E27" s="141"/>
      <c r="F27" s="143"/>
      <c r="G27" s="141"/>
      <c r="H27" s="141"/>
      <c r="I27" s="141"/>
      <c r="J27" s="141"/>
    </row>
    <row r="28" spans="2:10" ht="18" customHeight="1">
      <c r="B28" s="150" t="s">
        <v>289</v>
      </c>
      <c r="C28" s="141"/>
      <c r="D28" s="151"/>
      <c r="E28" s="141"/>
      <c r="F28" s="143"/>
      <c r="G28" s="141"/>
      <c r="H28" s="141"/>
      <c r="I28" s="141"/>
      <c r="J28" s="141"/>
    </row>
    <row r="29" spans="2:10" ht="18" customHeight="1">
      <c r="B29" s="150" t="s">
        <v>290</v>
      </c>
      <c r="C29" s="141"/>
      <c r="D29" s="151"/>
      <c r="E29" s="141"/>
      <c r="F29" s="143"/>
      <c r="G29" s="141"/>
      <c r="H29" s="141"/>
      <c r="I29" s="141"/>
      <c r="J29" s="141"/>
    </row>
    <row r="30" spans="2:10" ht="18" customHeight="1">
      <c r="B30" s="150" t="s">
        <v>291</v>
      </c>
      <c r="C30" s="141"/>
      <c r="D30" s="151"/>
      <c r="E30" s="141"/>
      <c r="F30" s="143"/>
      <c r="G30" s="141"/>
      <c r="H30" s="141"/>
      <c r="I30" s="141"/>
      <c r="J30" s="141"/>
    </row>
    <row r="31" spans="2:10" ht="18" customHeight="1">
      <c r="B31" s="150"/>
      <c r="C31" s="141"/>
      <c r="D31" s="151"/>
      <c r="E31" s="141"/>
      <c r="F31" s="143"/>
      <c r="G31" s="141"/>
      <c r="H31" s="141"/>
      <c r="I31" s="141"/>
      <c r="J31" s="141"/>
    </row>
    <row r="32" spans="2:10" ht="18" customHeight="1">
      <c r="B32" s="150" t="s">
        <v>292</v>
      </c>
      <c r="C32" s="141"/>
      <c r="D32" s="151"/>
      <c r="E32" s="141"/>
      <c r="F32" s="143"/>
      <c r="G32" s="141"/>
      <c r="H32" s="141"/>
      <c r="I32" s="141"/>
      <c r="J32" s="141"/>
    </row>
    <row r="33" spans="1:10" ht="18" customHeight="1">
      <c r="B33" s="156" t="s">
        <v>293</v>
      </c>
      <c r="C33" s="141"/>
      <c r="D33" s="151"/>
      <c r="E33" s="141"/>
      <c r="F33" s="143"/>
      <c r="G33" s="141"/>
      <c r="H33" s="141"/>
      <c r="I33" s="141"/>
      <c r="J33" s="141"/>
    </row>
    <row r="34" spans="1:10" ht="18" customHeight="1">
      <c r="B34" s="156" t="s">
        <v>294</v>
      </c>
      <c r="C34" s="141"/>
      <c r="D34" s="151"/>
      <c r="E34" s="141"/>
      <c r="F34" s="143"/>
      <c r="G34" s="141"/>
      <c r="H34" s="141"/>
      <c r="I34" s="141"/>
      <c r="J34" s="141"/>
    </row>
    <row r="35" spans="1:10" ht="18" customHeight="1">
      <c r="B35" s="156" t="s">
        <v>295</v>
      </c>
      <c r="C35" s="141"/>
      <c r="D35" s="151"/>
      <c r="E35" s="141"/>
      <c r="F35" s="143"/>
      <c r="G35" s="141"/>
      <c r="H35" s="141"/>
      <c r="I35" s="141"/>
      <c r="J35" s="141"/>
    </row>
    <row r="36" spans="1:10" ht="18" customHeight="1">
      <c r="B36" s="150"/>
      <c r="C36" s="141"/>
      <c r="D36" s="151"/>
      <c r="E36" s="141"/>
      <c r="F36" s="143"/>
      <c r="G36" s="141"/>
      <c r="H36" s="141"/>
      <c r="I36" s="141"/>
      <c r="J36" s="141"/>
    </row>
    <row r="37" spans="1:10" ht="18" customHeight="1">
      <c r="B37" s="150" t="s">
        <v>296</v>
      </c>
      <c r="C37" s="141"/>
      <c r="D37" s="151"/>
      <c r="E37" s="141"/>
      <c r="F37" s="143"/>
      <c r="G37" s="141"/>
      <c r="H37" s="141"/>
      <c r="I37" s="141"/>
      <c r="J37" s="141"/>
    </row>
    <row r="38" spans="1:10" ht="18" customHeight="1">
      <c r="B38" s="150" t="s">
        <v>297</v>
      </c>
      <c r="C38" s="141"/>
      <c r="D38" s="151"/>
      <c r="E38" s="141"/>
      <c r="F38" s="143"/>
      <c r="G38" s="141"/>
      <c r="H38" s="141"/>
      <c r="I38" s="141"/>
      <c r="J38" s="141"/>
    </row>
    <row r="39" spans="1:10" ht="18" customHeight="1">
      <c r="B39" s="150"/>
      <c r="C39" s="141"/>
      <c r="D39" s="151"/>
      <c r="E39" s="141"/>
      <c r="F39" s="143"/>
      <c r="G39" s="141"/>
      <c r="H39" s="141"/>
      <c r="I39" s="141"/>
      <c r="J39" s="141"/>
    </row>
    <row r="40" spans="1:10" ht="18" customHeight="1">
      <c r="B40" s="150" t="s">
        <v>298</v>
      </c>
      <c r="C40" s="141"/>
      <c r="D40" s="151"/>
      <c r="E40" s="141"/>
      <c r="F40" s="143"/>
      <c r="G40" s="141"/>
      <c r="H40" s="141"/>
      <c r="I40" s="141"/>
      <c r="J40" s="141"/>
    </row>
    <row r="41" spans="1:10" ht="18" customHeight="1">
      <c r="B41" s="150"/>
      <c r="C41" s="141"/>
      <c r="D41" s="151"/>
      <c r="E41" s="141"/>
      <c r="F41" s="143"/>
      <c r="G41" s="141"/>
      <c r="H41" s="141"/>
      <c r="I41" s="141"/>
      <c r="J41" s="141"/>
    </row>
    <row r="42" spans="1:10" ht="18" customHeight="1">
      <c r="B42" s="150"/>
      <c r="C42" s="141"/>
      <c r="D42" s="151"/>
      <c r="E42" s="141"/>
      <c r="F42" s="143"/>
      <c r="G42" s="141"/>
      <c r="H42" s="141"/>
      <c r="I42" s="141"/>
      <c r="J42" s="141"/>
    </row>
    <row r="43" spans="1:10" ht="18" customHeight="1">
      <c r="B43" s="154"/>
      <c r="C43" s="141"/>
      <c r="D43" s="151"/>
      <c r="E43" s="141"/>
      <c r="F43" s="143"/>
      <c r="G43" s="141"/>
      <c r="H43" s="141"/>
      <c r="I43" s="141"/>
      <c r="J43" s="141"/>
    </row>
    <row r="44" spans="1:10" ht="18" customHeight="1" thickBot="1">
      <c r="B44" s="157" t="s">
        <v>299</v>
      </c>
      <c r="C44" s="158"/>
      <c r="D44" s="159"/>
      <c r="E44" s="158"/>
      <c r="F44" s="160"/>
      <c r="G44" s="141"/>
      <c r="H44" s="141"/>
      <c r="I44" s="141"/>
      <c r="J44" s="141"/>
    </row>
    <row r="46" spans="1:10" ht="22.5" customHeight="1">
      <c r="I46" s="161"/>
    </row>
    <row r="47" spans="1:10" ht="24.95" customHeight="1" thickBot="1">
      <c r="A47" s="162"/>
      <c r="B47" s="753" t="s">
        <v>300</v>
      </c>
      <c r="C47" s="753"/>
      <c r="D47" s="163"/>
      <c r="E47" s="162"/>
      <c r="F47" s="162"/>
    </row>
    <row r="48" spans="1:10" ht="18" customHeight="1">
      <c r="A48" s="164"/>
      <c r="B48" s="165" t="s">
        <v>301</v>
      </c>
      <c r="C48" s="713"/>
      <c r="D48" s="713"/>
      <c r="E48" s="713"/>
      <c r="F48" s="714"/>
      <c r="G48" s="166"/>
    </row>
    <row r="49" spans="1:10" ht="18" customHeight="1">
      <c r="A49" s="164"/>
      <c r="B49" s="750" t="s">
        <v>302</v>
      </c>
      <c r="C49" s="757"/>
      <c r="D49" s="757"/>
      <c r="E49" s="757"/>
      <c r="F49" s="758"/>
      <c r="H49" s="167"/>
      <c r="I49" s="168"/>
      <c r="J49" s="168"/>
    </row>
    <row r="50" spans="1:10" ht="18" customHeight="1">
      <c r="A50" s="164"/>
      <c r="B50" s="750" t="s">
        <v>303</v>
      </c>
      <c r="C50" s="757"/>
      <c r="D50" s="757"/>
      <c r="E50" s="757"/>
      <c r="F50" s="758"/>
      <c r="H50" s="167"/>
      <c r="I50" s="168"/>
      <c r="J50" s="168"/>
    </row>
    <row r="51" spans="1:10" ht="18" customHeight="1">
      <c r="A51" s="164"/>
      <c r="B51" s="750" t="s">
        <v>304</v>
      </c>
      <c r="C51" s="757"/>
      <c r="D51" s="757"/>
      <c r="E51" s="757"/>
      <c r="F51" s="758"/>
      <c r="H51" s="167"/>
      <c r="I51" s="168"/>
      <c r="J51" s="168"/>
    </row>
    <row r="52" spans="1:10" ht="18" customHeight="1" thickBot="1">
      <c r="A52" s="164"/>
      <c r="B52" s="169" t="s">
        <v>305</v>
      </c>
      <c r="C52" s="759"/>
      <c r="D52" s="759"/>
      <c r="E52" s="759"/>
      <c r="F52" s="760"/>
    </row>
    <row r="53" spans="1:10" ht="18" customHeight="1" thickBot="1">
      <c r="A53" s="170"/>
      <c r="B53" s="167"/>
      <c r="C53" s="167"/>
      <c r="D53" s="167"/>
      <c r="E53" s="167"/>
      <c r="F53" s="167"/>
    </row>
    <row r="54" spans="1:10" s="172" customFormat="1" ht="18" customHeight="1">
      <c r="A54" s="171"/>
      <c r="B54" s="790" t="s">
        <v>306</v>
      </c>
      <c r="C54" s="791"/>
      <c r="D54" s="791"/>
      <c r="E54" s="791"/>
      <c r="F54" s="792"/>
    </row>
    <row r="55" spans="1:10" s="172" customFormat="1" ht="18" customHeight="1">
      <c r="A55" s="171"/>
      <c r="B55" s="173" t="s">
        <v>307</v>
      </c>
      <c r="C55" s="174"/>
      <c r="D55" s="787"/>
      <c r="E55" s="788"/>
      <c r="F55" s="789"/>
    </row>
    <row r="56" spans="1:10" ht="18" customHeight="1">
      <c r="A56" s="164"/>
      <c r="B56" s="687" t="s">
        <v>308</v>
      </c>
      <c r="C56" s="688"/>
      <c r="D56" s="787" t="s">
        <v>309</v>
      </c>
      <c r="E56" s="788"/>
      <c r="F56" s="789"/>
    </row>
    <row r="57" spans="1:10" ht="18" customHeight="1">
      <c r="A57" s="164"/>
      <c r="B57" s="687" t="s">
        <v>310</v>
      </c>
      <c r="C57" s="688"/>
      <c r="D57" s="787" t="s">
        <v>309</v>
      </c>
      <c r="E57" s="788"/>
      <c r="F57" s="789"/>
    </row>
    <row r="58" spans="1:10" ht="18" customHeight="1">
      <c r="A58" s="164"/>
      <c r="B58" s="687" t="s">
        <v>311</v>
      </c>
      <c r="C58" s="688"/>
      <c r="D58" s="787" t="s">
        <v>309</v>
      </c>
      <c r="E58" s="788"/>
      <c r="F58" s="789"/>
    </row>
    <row r="59" spans="1:10" ht="18" customHeight="1">
      <c r="A59" s="164"/>
      <c r="B59" s="687" t="s">
        <v>312</v>
      </c>
      <c r="C59" s="688"/>
      <c r="D59" s="787" t="s">
        <v>309</v>
      </c>
      <c r="E59" s="788"/>
      <c r="F59" s="789"/>
    </row>
    <row r="60" spans="1:10" ht="18" customHeight="1">
      <c r="A60" s="164"/>
      <c r="B60" s="687" t="s">
        <v>313</v>
      </c>
      <c r="C60" s="688"/>
      <c r="D60" s="787" t="s">
        <v>309</v>
      </c>
      <c r="E60" s="788"/>
      <c r="F60" s="789"/>
      <c r="I60" s="135"/>
    </row>
    <row r="61" spans="1:10" ht="18" customHeight="1">
      <c r="A61" s="164"/>
      <c r="B61" s="687" t="s">
        <v>314</v>
      </c>
      <c r="C61" s="688"/>
      <c r="D61" s="787" t="s">
        <v>309</v>
      </c>
      <c r="E61" s="788"/>
      <c r="F61" s="789"/>
    </row>
    <row r="62" spans="1:10" ht="18" customHeight="1">
      <c r="B62" s="687" t="s">
        <v>315</v>
      </c>
      <c r="C62" s="688"/>
      <c r="D62" s="787" t="s">
        <v>309</v>
      </c>
      <c r="E62" s="788"/>
      <c r="F62" s="789"/>
    </row>
    <row r="63" spans="1:10" ht="18" customHeight="1">
      <c r="B63" s="173" t="s">
        <v>316</v>
      </c>
      <c r="C63" s="174"/>
      <c r="D63" s="787"/>
      <c r="E63" s="788"/>
      <c r="F63" s="789"/>
    </row>
    <row r="64" spans="1:10" ht="18" customHeight="1">
      <c r="B64" s="687" t="s">
        <v>317</v>
      </c>
      <c r="C64" s="688"/>
      <c r="D64" s="787" t="s">
        <v>309</v>
      </c>
      <c r="E64" s="788"/>
      <c r="F64" s="789"/>
    </row>
    <row r="65" spans="2:7" ht="18" customHeight="1">
      <c r="B65" s="687" t="s">
        <v>318</v>
      </c>
      <c r="C65" s="688"/>
      <c r="D65" s="787" t="s">
        <v>309</v>
      </c>
      <c r="E65" s="788"/>
      <c r="F65" s="789"/>
    </row>
    <row r="66" spans="2:7" ht="18" customHeight="1">
      <c r="B66" s="687" t="s">
        <v>319</v>
      </c>
      <c r="C66" s="688"/>
      <c r="D66" s="787" t="s">
        <v>309</v>
      </c>
      <c r="E66" s="788"/>
      <c r="F66" s="789"/>
      <c r="G66" s="175"/>
    </row>
    <row r="67" spans="2:7" ht="18" customHeight="1">
      <c r="B67" s="687" t="s">
        <v>320</v>
      </c>
      <c r="C67" s="688"/>
      <c r="D67" s="787" t="s">
        <v>309</v>
      </c>
      <c r="E67" s="788"/>
      <c r="F67" s="789"/>
    </row>
    <row r="68" spans="2:7" ht="18" customHeight="1">
      <c r="B68" s="687" t="s">
        <v>321</v>
      </c>
      <c r="C68" s="688"/>
      <c r="D68" s="787"/>
      <c r="E68" s="788"/>
      <c r="F68" s="789"/>
    </row>
    <row r="69" spans="2:7" ht="18" customHeight="1">
      <c r="B69" s="173" t="s">
        <v>322</v>
      </c>
      <c r="C69" s="174"/>
      <c r="D69" s="787"/>
      <c r="E69" s="788"/>
      <c r="F69" s="789"/>
    </row>
    <row r="70" spans="2:7" ht="18" customHeight="1">
      <c r="B70" s="687" t="s">
        <v>323</v>
      </c>
      <c r="C70" s="688"/>
      <c r="D70" s="787" t="s">
        <v>309</v>
      </c>
      <c r="E70" s="788"/>
      <c r="F70" s="789"/>
    </row>
    <row r="71" spans="2:7" ht="24.75" customHeight="1">
      <c r="B71" s="687" t="s">
        <v>324</v>
      </c>
      <c r="C71" s="688"/>
      <c r="D71" s="787" t="s">
        <v>309</v>
      </c>
      <c r="E71" s="788"/>
      <c r="F71" s="789"/>
    </row>
    <row r="72" spans="2:7" ht="18" customHeight="1">
      <c r="B72" s="687" t="s">
        <v>325</v>
      </c>
      <c r="C72" s="688"/>
      <c r="D72" s="787" t="s">
        <v>309</v>
      </c>
      <c r="E72" s="788"/>
      <c r="F72" s="789"/>
    </row>
    <row r="73" spans="2:7" ht="18" customHeight="1">
      <c r="B73" s="173" t="s">
        <v>326</v>
      </c>
      <c r="C73" s="174"/>
      <c r="D73" s="787"/>
      <c r="E73" s="788"/>
      <c r="F73" s="789"/>
    </row>
    <row r="74" spans="2:7" ht="18" customHeight="1">
      <c r="B74" s="655" t="s">
        <v>327</v>
      </c>
      <c r="C74" s="706"/>
      <c r="D74" s="787" t="s">
        <v>309</v>
      </c>
      <c r="E74" s="788"/>
      <c r="F74" s="789"/>
    </row>
    <row r="75" spans="2:7" ht="18" customHeight="1">
      <c r="B75" s="173" t="s">
        <v>328</v>
      </c>
      <c r="C75" s="174"/>
      <c r="D75" s="787"/>
      <c r="E75" s="788"/>
      <c r="F75" s="789"/>
    </row>
    <row r="76" spans="2:7" ht="18" customHeight="1">
      <c r="B76" s="687" t="s">
        <v>329</v>
      </c>
      <c r="C76" s="688"/>
      <c r="D76" s="787" t="s">
        <v>309</v>
      </c>
      <c r="E76" s="788"/>
      <c r="F76" s="789"/>
    </row>
    <row r="77" spans="2:7" ht="18" customHeight="1">
      <c r="B77" s="687" t="s">
        <v>330</v>
      </c>
      <c r="C77" s="688"/>
      <c r="D77" s="787" t="s">
        <v>309</v>
      </c>
      <c r="E77" s="788"/>
      <c r="F77" s="789"/>
    </row>
    <row r="78" spans="2:7" ht="18" customHeight="1">
      <c r="B78" s="687" t="s">
        <v>331</v>
      </c>
      <c r="C78" s="688"/>
      <c r="D78" s="787" t="s">
        <v>309</v>
      </c>
      <c r="E78" s="788"/>
      <c r="F78" s="789"/>
    </row>
    <row r="79" spans="2:7" ht="18" customHeight="1">
      <c r="B79" s="173" t="s">
        <v>332</v>
      </c>
      <c r="C79" s="174"/>
      <c r="D79" s="787"/>
      <c r="E79" s="788"/>
      <c r="F79" s="789"/>
    </row>
    <row r="80" spans="2:7" ht="18" customHeight="1">
      <c r="B80" s="687" t="s">
        <v>333</v>
      </c>
      <c r="C80" s="711"/>
      <c r="D80" s="787" t="s">
        <v>309</v>
      </c>
      <c r="E80" s="788"/>
      <c r="F80" s="789"/>
    </row>
    <row r="81" spans="2:6" ht="18" customHeight="1">
      <c r="B81" s="173" t="s">
        <v>334</v>
      </c>
      <c r="C81" s="174"/>
      <c r="D81" s="787"/>
      <c r="E81" s="788"/>
      <c r="F81" s="789"/>
    </row>
    <row r="82" spans="2:6" ht="18" customHeight="1">
      <c r="B82" s="687" t="s">
        <v>335</v>
      </c>
      <c r="C82" s="711"/>
      <c r="D82" s="787" t="s">
        <v>309</v>
      </c>
      <c r="E82" s="788"/>
      <c r="F82" s="789"/>
    </row>
    <row r="83" spans="2:6" ht="27.75" customHeight="1">
      <c r="B83" s="655" t="s">
        <v>336</v>
      </c>
      <c r="C83" s="706"/>
      <c r="D83" s="787" t="s">
        <v>309</v>
      </c>
      <c r="E83" s="788"/>
      <c r="F83" s="789"/>
    </row>
    <row r="84" spans="2:6" ht="18" customHeight="1">
      <c r="B84" s="173" t="s">
        <v>337</v>
      </c>
      <c r="C84" s="174"/>
      <c r="D84" s="787"/>
      <c r="E84" s="788"/>
      <c r="F84" s="789"/>
    </row>
    <row r="85" spans="2:6" ht="18" customHeight="1">
      <c r="B85" s="655" t="s">
        <v>338</v>
      </c>
      <c r="C85" s="706"/>
      <c r="D85" s="787" t="s">
        <v>309</v>
      </c>
      <c r="E85" s="788"/>
      <c r="F85" s="789"/>
    </row>
    <row r="86" spans="2:6" ht="26.25" customHeight="1">
      <c r="B86" s="655" t="s">
        <v>339</v>
      </c>
      <c r="C86" s="706"/>
      <c r="D86" s="787" t="s">
        <v>309</v>
      </c>
      <c r="E86" s="788"/>
      <c r="F86" s="789"/>
    </row>
    <row r="87" spans="2:6" ht="27" customHeight="1">
      <c r="B87" s="655" t="s">
        <v>340</v>
      </c>
      <c r="C87" s="706"/>
      <c r="D87" s="787" t="s">
        <v>309</v>
      </c>
      <c r="E87" s="788"/>
      <c r="F87" s="789"/>
    </row>
    <row r="88" spans="2:6" ht="18" customHeight="1">
      <c r="B88" s="173" t="s">
        <v>341</v>
      </c>
      <c r="C88" s="174"/>
      <c r="D88" s="787"/>
      <c r="E88" s="788"/>
      <c r="F88" s="789"/>
    </row>
    <row r="89" spans="2:6" ht="18" customHeight="1">
      <c r="B89" s="655" t="s">
        <v>342</v>
      </c>
      <c r="C89" s="706"/>
      <c r="D89" s="787" t="s">
        <v>309</v>
      </c>
      <c r="E89" s="788"/>
      <c r="F89" s="789"/>
    </row>
    <row r="90" spans="2:6" ht="27" customHeight="1">
      <c r="B90" s="655" t="s">
        <v>343</v>
      </c>
      <c r="C90" s="706"/>
      <c r="D90" s="787" t="s">
        <v>309</v>
      </c>
      <c r="E90" s="788"/>
      <c r="F90" s="789"/>
    </row>
    <row r="91" spans="2:6" ht="18" customHeight="1">
      <c r="B91" s="173" t="s">
        <v>344</v>
      </c>
      <c r="C91" s="174"/>
      <c r="D91" s="787"/>
      <c r="E91" s="788"/>
      <c r="F91" s="789"/>
    </row>
    <row r="92" spans="2:6" ht="27" customHeight="1">
      <c r="B92" s="655" t="s">
        <v>345</v>
      </c>
      <c r="C92" s="706"/>
      <c r="D92" s="787" t="s">
        <v>309</v>
      </c>
      <c r="E92" s="788"/>
      <c r="F92" s="789"/>
    </row>
    <row r="93" spans="2:6" ht="27" customHeight="1">
      <c r="B93" s="655" t="s">
        <v>346</v>
      </c>
      <c r="C93" s="706"/>
      <c r="D93" s="787" t="s">
        <v>309</v>
      </c>
      <c r="E93" s="788"/>
      <c r="F93" s="789"/>
    </row>
    <row r="94" spans="2:6" ht="18" customHeight="1">
      <c r="B94" s="655" t="s">
        <v>347</v>
      </c>
      <c r="C94" s="656"/>
      <c r="D94" s="787" t="s">
        <v>309</v>
      </c>
      <c r="E94" s="788"/>
      <c r="F94" s="789"/>
    </row>
    <row r="95" spans="2:6" ht="18" customHeight="1">
      <c r="B95" s="173" t="s">
        <v>348</v>
      </c>
      <c r="C95" s="174"/>
      <c r="D95" s="787"/>
      <c r="E95" s="788"/>
      <c r="F95" s="789"/>
    </row>
    <row r="96" spans="2:6" ht="18" customHeight="1">
      <c r="B96" s="655" t="s">
        <v>349</v>
      </c>
      <c r="C96" s="706"/>
      <c r="D96" s="787" t="s">
        <v>309</v>
      </c>
      <c r="E96" s="788"/>
      <c r="F96" s="789"/>
    </row>
    <row r="97" spans="2:6" ht="18" customHeight="1">
      <c r="B97" s="655" t="s">
        <v>350</v>
      </c>
      <c r="C97" s="706"/>
      <c r="D97" s="787" t="s">
        <v>309</v>
      </c>
      <c r="E97" s="788"/>
      <c r="F97" s="789"/>
    </row>
    <row r="98" spans="2:6" ht="18" customHeight="1">
      <c r="B98" s="655" t="s">
        <v>351</v>
      </c>
      <c r="C98" s="706"/>
      <c r="D98" s="787" t="s">
        <v>309</v>
      </c>
      <c r="E98" s="788"/>
      <c r="F98" s="789"/>
    </row>
    <row r="99" spans="2:6" ht="18" customHeight="1">
      <c r="B99" s="173" t="s">
        <v>352</v>
      </c>
      <c r="C99" s="176"/>
      <c r="D99" s="787"/>
      <c r="E99" s="788"/>
      <c r="F99" s="789"/>
    </row>
    <row r="100" spans="2:6" ht="18" customHeight="1">
      <c r="B100" s="655" t="s">
        <v>353</v>
      </c>
      <c r="C100" s="706"/>
      <c r="D100" s="787" t="s">
        <v>309</v>
      </c>
      <c r="E100" s="788"/>
      <c r="F100" s="789"/>
    </row>
    <row r="101" spans="2:6" ht="18" customHeight="1">
      <c r="B101" s="655" t="s">
        <v>354</v>
      </c>
      <c r="C101" s="706"/>
      <c r="D101" s="787" t="s">
        <v>309</v>
      </c>
      <c r="E101" s="788"/>
      <c r="F101" s="789"/>
    </row>
    <row r="102" spans="2:6" ht="27" customHeight="1">
      <c r="B102" s="655" t="s">
        <v>355</v>
      </c>
      <c r="C102" s="706"/>
      <c r="D102" s="787" t="s">
        <v>309</v>
      </c>
      <c r="E102" s="788"/>
      <c r="F102" s="789"/>
    </row>
    <row r="103" spans="2:6" ht="18" customHeight="1">
      <c r="B103" s="655" t="s">
        <v>356</v>
      </c>
      <c r="C103" s="706"/>
      <c r="D103" s="787" t="s">
        <v>309</v>
      </c>
      <c r="E103" s="788"/>
      <c r="F103" s="789"/>
    </row>
    <row r="104" spans="2:6" ht="18" customHeight="1">
      <c r="B104" s="173" t="s">
        <v>357</v>
      </c>
      <c r="C104" s="174"/>
      <c r="D104" s="787"/>
      <c r="E104" s="788"/>
      <c r="F104" s="789"/>
    </row>
    <row r="105" spans="2:6" ht="18" customHeight="1">
      <c r="B105" s="655" t="s">
        <v>358</v>
      </c>
      <c r="C105" s="706"/>
      <c r="D105" s="787" t="s">
        <v>309</v>
      </c>
      <c r="E105" s="788"/>
      <c r="F105" s="789"/>
    </row>
    <row r="106" spans="2:6" ht="18" customHeight="1">
      <c r="B106" s="655" t="s">
        <v>359</v>
      </c>
      <c r="C106" s="706"/>
      <c r="D106" s="787" t="s">
        <v>309</v>
      </c>
      <c r="E106" s="788"/>
      <c r="F106" s="789"/>
    </row>
    <row r="107" spans="2:6" ht="18" customHeight="1">
      <c r="B107" s="655" t="s">
        <v>360</v>
      </c>
      <c r="C107" s="706"/>
      <c r="D107" s="787" t="s">
        <v>309</v>
      </c>
      <c r="E107" s="788"/>
      <c r="F107" s="789"/>
    </row>
    <row r="108" spans="2:6" ht="18" customHeight="1">
      <c r="B108" s="173" t="s">
        <v>361</v>
      </c>
      <c r="C108" s="174"/>
      <c r="D108" s="787"/>
      <c r="E108" s="788"/>
      <c r="F108" s="789"/>
    </row>
    <row r="109" spans="2:6" ht="18" customHeight="1">
      <c r="B109" s="655" t="s">
        <v>362</v>
      </c>
      <c r="C109" s="706"/>
      <c r="D109" s="787" t="s">
        <v>309</v>
      </c>
      <c r="E109" s="788"/>
      <c r="F109" s="789"/>
    </row>
    <row r="110" spans="2:6" ht="18" customHeight="1">
      <c r="B110" s="655" t="s">
        <v>363</v>
      </c>
      <c r="C110" s="706"/>
      <c r="D110" s="787" t="s">
        <v>309</v>
      </c>
      <c r="E110" s="788"/>
      <c r="F110" s="789"/>
    </row>
    <row r="111" spans="2:6" ht="18" customHeight="1">
      <c r="B111" s="655" t="s">
        <v>364</v>
      </c>
      <c r="C111" s="706"/>
      <c r="D111" s="787" t="s">
        <v>309</v>
      </c>
      <c r="E111" s="788"/>
      <c r="F111" s="789"/>
    </row>
    <row r="112" spans="2:6" ht="18" customHeight="1">
      <c r="B112" s="655" t="s">
        <v>365</v>
      </c>
      <c r="C112" s="706"/>
      <c r="D112" s="787" t="s">
        <v>309</v>
      </c>
      <c r="E112" s="788"/>
      <c r="F112" s="789"/>
    </row>
    <row r="113" spans="2:6" ht="18" customHeight="1">
      <c r="B113" s="173" t="s">
        <v>366</v>
      </c>
      <c r="C113" s="177"/>
      <c r="D113" s="787"/>
      <c r="E113" s="788"/>
      <c r="F113" s="789"/>
    </row>
    <row r="114" spans="2:6" ht="18" customHeight="1">
      <c r="B114" s="655" t="s">
        <v>367</v>
      </c>
      <c r="C114" s="706"/>
      <c r="D114" s="787" t="s">
        <v>309</v>
      </c>
      <c r="E114" s="788"/>
      <c r="F114" s="789"/>
    </row>
    <row r="115" spans="2:6" ht="18" customHeight="1">
      <c r="B115" s="655" t="s">
        <v>368</v>
      </c>
      <c r="C115" s="706"/>
      <c r="D115" s="787" t="s">
        <v>309</v>
      </c>
      <c r="E115" s="788"/>
      <c r="F115" s="789"/>
    </row>
    <row r="116" spans="2:6" ht="18" customHeight="1">
      <c r="B116" s="655" t="s">
        <v>369</v>
      </c>
      <c r="C116" s="706"/>
      <c r="D116" s="787" t="s">
        <v>309</v>
      </c>
      <c r="E116" s="788"/>
      <c r="F116" s="789"/>
    </row>
    <row r="117" spans="2:6" ht="18" customHeight="1">
      <c r="B117" s="655" t="s">
        <v>370</v>
      </c>
      <c r="C117" s="706"/>
      <c r="D117" s="787" t="s">
        <v>309</v>
      </c>
      <c r="E117" s="788"/>
      <c r="F117" s="789"/>
    </row>
    <row r="118" spans="2:6" ht="27" customHeight="1">
      <c r="B118" s="655" t="s">
        <v>371</v>
      </c>
      <c r="C118" s="706"/>
      <c r="D118" s="787" t="s">
        <v>309</v>
      </c>
      <c r="E118" s="788"/>
      <c r="F118" s="789"/>
    </row>
    <row r="119" spans="2:6" ht="18" customHeight="1">
      <c r="B119" s="655" t="s">
        <v>372</v>
      </c>
      <c r="C119" s="706"/>
      <c r="D119" s="787" t="s">
        <v>309</v>
      </c>
      <c r="E119" s="788"/>
      <c r="F119" s="789"/>
    </row>
    <row r="120" spans="2:6" ht="18" customHeight="1">
      <c r="B120" s="655" t="s">
        <v>373</v>
      </c>
      <c r="C120" s="706"/>
      <c r="D120" s="787" t="s">
        <v>309</v>
      </c>
      <c r="E120" s="788"/>
      <c r="F120" s="789"/>
    </row>
    <row r="121" spans="2:6" ht="18" customHeight="1">
      <c r="B121" s="655" t="s">
        <v>374</v>
      </c>
      <c r="C121" s="706"/>
      <c r="D121" s="787" t="s">
        <v>309</v>
      </c>
      <c r="E121" s="788"/>
      <c r="F121" s="789"/>
    </row>
    <row r="122" spans="2:6" ht="18" customHeight="1">
      <c r="B122" s="655" t="s">
        <v>375</v>
      </c>
      <c r="C122" s="706"/>
      <c r="D122" s="787" t="s">
        <v>309</v>
      </c>
      <c r="E122" s="788"/>
      <c r="F122" s="789"/>
    </row>
    <row r="123" spans="2:6" ht="18" customHeight="1">
      <c r="B123" s="655" t="s">
        <v>376</v>
      </c>
      <c r="C123" s="706"/>
      <c r="D123" s="787" t="s">
        <v>309</v>
      </c>
      <c r="E123" s="788"/>
      <c r="F123" s="789"/>
    </row>
    <row r="124" spans="2:6" ht="18" customHeight="1">
      <c r="B124" s="173" t="s">
        <v>377</v>
      </c>
      <c r="C124" s="177"/>
      <c r="D124" s="787"/>
      <c r="E124" s="788"/>
      <c r="F124" s="789"/>
    </row>
    <row r="125" spans="2:6" ht="18" customHeight="1">
      <c r="B125" s="655" t="s">
        <v>378</v>
      </c>
      <c r="C125" s="706"/>
      <c r="D125" s="787" t="s">
        <v>309</v>
      </c>
      <c r="E125" s="788"/>
      <c r="F125" s="789"/>
    </row>
    <row r="126" spans="2:6" ht="18" customHeight="1">
      <c r="B126" s="655" t="s">
        <v>379</v>
      </c>
      <c r="C126" s="706"/>
      <c r="D126" s="787" t="s">
        <v>309</v>
      </c>
      <c r="E126" s="788"/>
      <c r="F126" s="789"/>
    </row>
    <row r="127" spans="2:6" ht="18" customHeight="1">
      <c r="B127" s="655" t="s">
        <v>380</v>
      </c>
      <c r="C127" s="656"/>
      <c r="D127" s="787" t="s">
        <v>309</v>
      </c>
      <c r="E127" s="788"/>
      <c r="F127" s="789"/>
    </row>
    <row r="128" spans="2:6" ht="18" customHeight="1">
      <c r="B128" s="655" t="s">
        <v>381</v>
      </c>
      <c r="C128" s="706"/>
      <c r="D128" s="787" t="s">
        <v>309</v>
      </c>
      <c r="E128" s="788"/>
      <c r="F128" s="789"/>
    </row>
    <row r="129" spans="2:6" ht="18" customHeight="1">
      <c r="B129" s="655" t="s">
        <v>382</v>
      </c>
      <c r="C129" s="706"/>
      <c r="D129" s="787" t="s">
        <v>309</v>
      </c>
      <c r="E129" s="788"/>
      <c r="F129" s="789"/>
    </row>
    <row r="130" spans="2:6" ht="18" customHeight="1">
      <c r="B130" s="655" t="s">
        <v>383</v>
      </c>
      <c r="C130" s="706"/>
      <c r="D130" s="787" t="s">
        <v>309</v>
      </c>
      <c r="E130" s="788"/>
      <c r="F130" s="789"/>
    </row>
    <row r="131" spans="2:6" ht="18" customHeight="1">
      <c r="B131" s="655" t="s">
        <v>384</v>
      </c>
      <c r="C131" s="706"/>
      <c r="D131" s="787" t="s">
        <v>309</v>
      </c>
      <c r="E131" s="788"/>
      <c r="F131" s="789"/>
    </row>
    <row r="132" spans="2:6" ht="18" customHeight="1">
      <c r="B132" s="655" t="s">
        <v>385</v>
      </c>
      <c r="C132" s="706"/>
      <c r="D132" s="787" t="s">
        <v>309</v>
      </c>
      <c r="E132" s="788"/>
      <c r="F132" s="789"/>
    </row>
    <row r="133" spans="2:6" ht="18" customHeight="1">
      <c r="B133" s="655" t="s">
        <v>386</v>
      </c>
      <c r="C133" s="706"/>
      <c r="D133" s="787" t="s">
        <v>309</v>
      </c>
      <c r="E133" s="788"/>
      <c r="F133" s="789"/>
    </row>
    <row r="134" spans="2:6" ht="18" customHeight="1">
      <c r="B134" s="655" t="s">
        <v>387</v>
      </c>
      <c r="C134" s="706"/>
      <c r="D134" s="787" t="s">
        <v>309</v>
      </c>
      <c r="E134" s="788"/>
      <c r="F134" s="789"/>
    </row>
    <row r="135" spans="2:6" ht="18" customHeight="1">
      <c r="B135" s="173" t="s">
        <v>388</v>
      </c>
      <c r="C135" s="177"/>
      <c r="D135" s="787"/>
      <c r="E135" s="788"/>
      <c r="F135" s="789"/>
    </row>
    <row r="136" spans="2:6" ht="18" customHeight="1">
      <c r="B136" s="655" t="s">
        <v>389</v>
      </c>
      <c r="C136" s="706"/>
      <c r="D136" s="787" t="s">
        <v>309</v>
      </c>
      <c r="E136" s="788"/>
      <c r="F136" s="789"/>
    </row>
    <row r="137" spans="2:6" ht="18" customHeight="1">
      <c r="B137" s="173" t="s">
        <v>390</v>
      </c>
      <c r="C137" s="177"/>
      <c r="D137" s="787"/>
      <c r="E137" s="788"/>
      <c r="F137" s="789"/>
    </row>
    <row r="138" spans="2:6" ht="18" customHeight="1">
      <c r="B138" s="655" t="s">
        <v>391</v>
      </c>
      <c r="C138" s="706"/>
      <c r="D138" s="787" t="s">
        <v>309</v>
      </c>
      <c r="E138" s="788"/>
      <c r="F138" s="789"/>
    </row>
    <row r="139" spans="2:6" ht="18" customHeight="1">
      <c r="B139" s="655" t="s">
        <v>392</v>
      </c>
      <c r="C139" s="706"/>
      <c r="D139" s="787" t="s">
        <v>309</v>
      </c>
      <c r="E139" s="788"/>
      <c r="F139" s="789"/>
    </row>
    <row r="140" spans="2:6" ht="18" customHeight="1">
      <c r="B140" s="655" t="s">
        <v>393</v>
      </c>
      <c r="C140" s="706"/>
      <c r="D140" s="787" t="s">
        <v>309</v>
      </c>
      <c r="E140" s="788"/>
      <c r="F140" s="789"/>
    </row>
    <row r="141" spans="2:6" ht="18" customHeight="1">
      <c r="B141" s="655" t="s">
        <v>394</v>
      </c>
      <c r="C141" s="706"/>
      <c r="D141" s="787" t="s">
        <v>309</v>
      </c>
      <c r="E141" s="788"/>
      <c r="F141" s="789"/>
    </row>
    <row r="142" spans="2:6" ht="18" customHeight="1">
      <c r="B142" s="173" t="s">
        <v>395</v>
      </c>
      <c r="C142" s="174"/>
      <c r="D142" s="787"/>
      <c r="E142" s="788"/>
      <c r="F142" s="789"/>
    </row>
    <row r="143" spans="2:6" ht="18" customHeight="1">
      <c r="B143" s="655" t="s">
        <v>396</v>
      </c>
      <c r="C143" s="706"/>
      <c r="D143" s="787" t="s">
        <v>309</v>
      </c>
      <c r="E143" s="788"/>
      <c r="F143" s="789"/>
    </row>
    <row r="144" spans="2:6" ht="18" customHeight="1">
      <c r="B144" s="655" t="s">
        <v>397</v>
      </c>
      <c r="C144" s="706"/>
      <c r="D144" s="787" t="s">
        <v>309</v>
      </c>
      <c r="E144" s="788"/>
      <c r="F144" s="789"/>
    </row>
    <row r="145" spans="2:6" ht="18" customHeight="1">
      <c r="B145" s="655" t="s">
        <v>398</v>
      </c>
      <c r="C145" s="706"/>
      <c r="D145" s="787" t="s">
        <v>309</v>
      </c>
      <c r="E145" s="788"/>
      <c r="F145" s="789"/>
    </row>
    <row r="146" spans="2:6" ht="18" customHeight="1">
      <c r="B146" s="655" t="s">
        <v>399</v>
      </c>
      <c r="C146" s="706"/>
      <c r="D146" s="787" t="s">
        <v>309</v>
      </c>
      <c r="E146" s="788"/>
      <c r="F146" s="789"/>
    </row>
    <row r="147" spans="2:6" ht="18" customHeight="1">
      <c r="B147" s="173" t="s">
        <v>400</v>
      </c>
      <c r="C147" s="177"/>
      <c r="D147" s="787"/>
      <c r="E147" s="788"/>
      <c r="F147" s="789"/>
    </row>
    <row r="148" spans="2:6" ht="18" customHeight="1">
      <c r="B148" s="655" t="s">
        <v>401</v>
      </c>
      <c r="C148" s="706"/>
      <c r="D148" s="787" t="s">
        <v>309</v>
      </c>
      <c r="E148" s="788"/>
      <c r="F148" s="789"/>
    </row>
    <row r="149" spans="2:6" ht="18" customHeight="1">
      <c r="B149" s="655" t="s">
        <v>402</v>
      </c>
      <c r="C149" s="706"/>
      <c r="D149" s="787" t="s">
        <v>309</v>
      </c>
      <c r="E149" s="788"/>
      <c r="F149" s="789"/>
    </row>
    <row r="150" spans="2:6" ht="18" customHeight="1">
      <c r="B150" s="655" t="s">
        <v>403</v>
      </c>
      <c r="C150" s="706"/>
      <c r="D150" s="787" t="s">
        <v>309</v>
      </c>
      <c r="E150" s="788"/>
      <c r="F150" s="789"/>
    </row>
    <row r="151" spans="2:6" ht="18" customHeight="1">
      <c r="B151" s="655" t="s">
        <v>404</v>
      </c>
      <c r="C151" s="706"/>
      <c r="D151" s="787" t="s">
        <v>309</v>
      </c>
      <c r="E151" s="788"/>
      <c r="F151" s="789"/>
    </row>
    <row r="152" spans="2:6" ht="25.5" customHeight="1">
      <c r="B152" s="655" t="s">
        <v>405</v>
      </c>
      <c r="C152" s="706"/>
      <c r="D152" s="787" t="s">
        <v>309</v>
      </c>
      <c r="E152" s="788"/>
      <c r="F152" s="789"/>
    </row>
    <row r="153" spans="2:6" ht="18" customHeight="1">
      <c r="B153" s="655" t="s">
        <v>406</v>
      </c>
      <c r="C153" s="706"/>
      <c r="D153" s="787" t="s">
        <v>309</v>
      </c>
      <c r="E153" s="788"/>
      <c r="F153" s="789"/>
    </row>
    <row r="154" spans="2:6" ht="18" customHeight="1">
      <c r="B154" s="655" t="s">
        <v>407</v>
      </c>
      <c r="C154" s="706"/>
      <c r="D154" s="787" t="s">
        <v>309</v>
      </c>
      <c r="E154" s="788"/>
      <c r="F154" s="789"/>
    </row>
    <row r="155" spans="2:6" ht="18" customHeight="1">
      <c r="B155" s="655" t="s">
        <v>408</v>
      </c>
      <c r="C155" s="706"/>
      <c r="D155" s="787" t="s">
        <v>309</v>
      </c>
      <c r="E155" s="788"/>
      <c r="F155" s="789"/>
    </row>
    <row r="156" spans="2:6" ht="18" customHeight="1">
      <c r="B156" s="655" t="s">
        <v>409</v>
      </c>
      <c r="C156" s="706"/>
      <c r="D156" s="787" t="s">
        <v>309</v>
      </c>
      <c r="E156" s="788"/>
      <c r="F156" s="789"/>
    </row>
    <row r="157" spans="2:6" ht="18" customHeight="1">
      <c r="B157" s="173" t="s">
        <v>410</v>
      </c>
      <c r="C157" s="174"/>
      <c r="D157" s="787"/>
      <c r="E157" s="788"/>
      <c r="F157" s="789"/>
    </row>
    <row r="158" spans="2:6" ht="27.6" customHeight="1">
      <c r="B158" s="655" t="s">
        <v>411</v>
      </c>
      <c r="C158" s="706"/>
      <c r="D158" s="787" t="s">
        <v>309</v>
      </c>
      <c r="E158" s="788"/>
      <c r="F158" s="789"/>
    </row>
    <row r="159" spans="2:6" ht="18" customHeight="1">
      <c r="B159" s="173" t="s">
        <v>412</v>
      </c>
      <c r="C159" s="177"/>
      <c r="D159" s="787"/>
      <c r="E159" s="788"/>
      <c r="F159" s="789"/>
    </row>
    <row r="160" spans="2:6" ht="18" customHeight="1">
      <c r="B160" s="655" t="s">
        <v>413</v>
      </c>
      <c r="C160" s="706"/>
      <c r="D160" s="787" t="s">
        <v>309</v>
      </c>
      <c r="E160" s="788"/>
      <c r="F160" s="789"/>
    </row>
    <row r="161" spans="1:8" ht="18" customHeight="1">
      <c r="B161" s="655" t="s">
        <v>414</v>
      </c>
      <c r="C161" s="706"/>
      <c r="D161" s="787" t="s">
        <v>309</v>
      </c>
      <c r="E161" s="788"/>
      <c r="F161" s="789"/>
    </row>
    <row r="162" spans="1:8" ht="18" customHeight="1">
      <c r="B162" s="173" t="s">
        <v>415</v>
      </c>
      <c r="C162" s="177"/>
      <c r="D162" s="787"/>
      <c r="E162" s="788"/>
      <c r="F162" s="789"/>
    </row>
    <row r="163" spans="1:8" ht="18" customHeight="1">
      <c r="B163" s="655" t="s">
        <v>416</v>
      </c>
      <c r="C163" s="656"/>
      <c r="D163" s="787"/>
      <c r="E163" s="788"/>
      <c r="F163" s="789"/>
    </row>
    <row r="164" spans="1:8" ht="18" customHeight="1">
      <c r="B164" s="655" t="s">
        <v>417</v>
      </c>
      <c r="C164" s="656"/>
      <c r="D164" s="787" t="s">
        <v>309</v>
      </c>
      <c r="E164" s="788"/>
      <c r="F164" s="789"/>
    </row>
    <row r="165" spans="1:8" s="175" customFormat="1" ht="26.25" customHeight="1">
      <c r="A165" s="155"/>
      <c r="B165" s="655" t="s">
        <v>418</v>
      </c>
      <c r="C165" s="656"/>
      <c r="D165" s="787" t="s">
        <v>309</v>
      </c>
      <c r="E165" s="788"/>
      <c r="F165" s="789"/>
      <c r="G165" s="40"/>
    </row>
    <row r="166" spans="1:8" ht="26.25" customHeight="1">
      <c r="B166" s="655" t="s">
        <v>419</v>
      </c>
      <c r="C166" s="656"/>
      <c r="D166" s="787" t="s">
        <v>309</v>
      </c>
      <c r="E166" s="788"/>
      <c r="F166" s="789"/>
    </row>
    <row r="167" spans="1:8" ht="18" customHeight="1">
      <c r="B167" s="655" t="s">
        <v>420</v>
      </c>
      <c r="C167" s="656"/>
      <c r="D167" s="787" t="s">
        <v>309</v>
      </c>
      <c r="E167" s="788"/>
      <c r="F167" s="789"/>
    </row>
    <row r="168" spans="1:8" ht="18" customHeight="1">
      <c r="B168" s="173" t="s">
        <v>421</v>
      </c>
      <c r="C168" s="177"/>
      <c r="D168" s="787"/>
      <c r="E168" s="788"/>
      <c r="F168" s="789"/>
    </row>
    <row r="169" spans="1:8" ht="26.25" customHeight="1">
      <c r="B169" s="655" t="s">
        <v>422</v>
      </c>
      <c r="C169" s="706"/>
      <c r="D169" s="787" t="s">
        <v>309</v>
      </c>
      <c r="E169" s="788"/>
      <c r="F169" s="789"/>
      <c r="H169"/>
    </row>
    <row r="170" spans="1:8" ht="26.25" customHeight="1">
      <c r="B170" s="655" t="s">
        <v>423</v>
      </c>
      <c r="C170" s="706"/>
      <c r="D170" s="787" t="s">
        <v>309</v>
      </c>
      <c r="E170" s="788"/>
      <c r="F170" s="789"/>
      <c r="H170"/>
    </row>
    <row r="171" spans="1:8" ht="26.1" customHeight="1">
      <c r="B171" s="655" t="s">
        <v>424</v>
      </c>
      <c r="C171" s="656"/>
      <c r="D171" s="787" t="s">
        <v>309</v>
      </c>
      <c r="E171" s="788"/>
      <c r="F171" s="789"/>
    </row>
    <row r="172" spans="1:8" ht="24" customHeight="1">
      <c r="B172" s="173" t="s">
        <v>425</v>
      </c>
      <c r="C172" s="177"/>
      <c r="D172" s="787"/>
      <c r="E172" s="788"/>
      <c r="F172" s="789"/>
    </row>
    <row r="173" spans="1:8" ht="18" customHeight="1">
      <c r="B173" s="655" t="s">
        <v>426</v>
      </c>
      <c r="C173" s="706"/>
      <c r="D173" s="787" t="s">
        <v>309</v>
      </c>
      <c r="E173" s="788"/>
      <c r="F173" s="789"/>
      <c r="H173" s="178"/>
    </row>
    <row r="174" spans="1:8" ht="22.9" customHeight="1">
      <c r="B174" s="173" t="s">
        <v>427</v>
      </c>
      <c r="C174" s="177"/>
      <c r="D174" s="787"/>
      <c r="E174" s="788"/>
      <c r="F174" s="789"/>
    </row>
    <row r="175" spans="1:8" ht="18" customHeight="1">
      <c r="B175" s="655" t="s">
        <v>428</v>
      </c>
      <c r="C175" s="706"/>
      <c r="D175" s="787" t="s">
        <v>309</v>
      </c>
      <c r="E175" s="788"/>
      <c r="F175" s="789"/>
      <c r="H175" s="179"/>
    </row>
    <row r="176" spans="1:8" ht="18" customHeight="1">
      <c r="B176" s="173" t="s">
        <v>429</v>
      </c>
      <c r="C176" s="174"/>
      <c r="D176" s="787"/>
      <c r="E176" s="788"/>
      <c r="F176" s="789"/>
    </row>
    <row r="177" spans="1:18" ht="18" customHeight="1">
      <c r="B177" s="655" t="s">
        <v>430</v>
      </c>
      <c r="C177" s="706"/>
      <c r="D177" s="787" t="s">
        <v>309</v>
      </c>
      <c r="E177" s="788"/>
      <c r="F177" s="789"/>
      <c r="H177" s="178"/>
      <c r="I177" s="175"/>
    </row>
    <row r="178" spans="1:18" ht="27" customHeight="1" thickBot="1">
      <c r="B178" s="793" t="s">
        <v>431</v>
      </c>
      <c r="C178" s="708"/>
      <c r="D178" s="794" t="s">
        <v>309</v>
      </c>
      <c r="E178" s="795"/>
      <c r="F178" s="796"/>
    </row>
    <row r="179" spans="1:18" ht="18" customHeight="1">
      <c r="A179" s="164"/>
      <c r="B179" s="752"/>
      <c r="C179" s="752"/>
      <c r="D179" s="40"/>
    </row>
    <row r="180" spans="1:18" ht="18" customHeight="1">
      <c r="A180" s="164"/>
      <c r="B180" s="180"/>
      <c r="C180" s="180"/>
      <c r="D180" s="40"/>
      <c r="H180" s="250" t="s">
        <v>490</v>
      </c>
      <c r="I180" s="181"/>
      <c r="J180" s="175" t="s">
        <v>433</v>
      </c>
    </row>
    <row r="181" spans="1:18" ht="18" customHeight="1">
      <c r="A181" s="164"/>
      <c r="B181" s="180"/>
      <c r="C181" s="180"/>
      <c r="D181" s="40"/>
      <c r="H181" s="182" t="s">
        <v>434</v>
      </c>
      <c r="I181" s="183"/>
      <c r="J181" s="184"/>
    </row>
    <row r="182" spans="1:18" ht="24.95" customHeight="1" thickBot="1">
      <c r="A182" s="164"/>
      <c r="B182" s="753" t="s">
        <v>300</v>
      </c>
      <c r="C182" s="753"/>
      <c r="D182" s="185"/>
      <c r="E182" s="185"/>
      <c r="F182" s="185"/>
      <c r="H182" s="186" t="s">
        <v>435</v>
      </c>
      <c r="I182" s="183"/>
      <c r="J182" s="184"/>
    </row>
    <row r="183" spans="1:18" ht="18" customHeight="1">
      <c r="A183" s="164"/>
      <c r="B183" s="187" t="s">
        <v>436</v>
      </c>
      <c r="C183" s="188">
        <f>+C48</f>
        <v>0</v>
      </c>
      <c r="D183" s="754" t="s">
        <v>437</v>
      </c>
      <c r="E183" s="755"/>
      <c r="F183" s="756"/>
      <c r="H183" s="186" t="s">
        <v>438</v>
      </c>
      <c r="I183" s="183"/>
      <c r="J183" s="189" t="s">
        <v>439</v>
      </c>
      <c r="K183" s="190"/>
      <c r="L183" s="191"/>
      <c r="M183" s="191"/>
      <c r="N183" s="191"/>
      <c r="O183" s="191"/>
      <c r="P183" s="191"/>
      <c r="Q183" s="191"/>
      <c r="R183" s="192"/>
    </row>
    <row r="184" spans="1:18" ht="18" customHeight="1">
      <c r="A184" s="164"/>
      <c r="B184" s="193" t="s">
        <v>305</v>
      </c>
      <c r="C184" s="757">
        <f>+C52</f>
        <v>0</v>
      </c>
      <c r="D184" s="757"/>
      <c r="E184" s="757"/>
      <c r="F184" s="758"/>
      <c r="H184" s="194" t="s">
        <v>440</v>
      </c>
      <c r="I184" s="195"/>
      <c r="J184" s="189" t="s">
        <v>439</v>
      </c>
      <c r="K184" s="196"/>
      <c r="L184" s="197"/>
      <c r="M184" s="197"/>
      <c r="N184" s="197"/>
      <c r="O184" s="197"/>
      <c r="P184" s="197"/>
      <c r="Q184" s="197"/>
      <c r="R184" s="198"/>
    </row>
    <row r="185" spans="1:18" ht="18" customHeight="1">
      <c r="A185" s="164"/>
      <c r="B185" s="199"/>
      <c r="C185" s="200"/>
      <c r="D185" s="201" t="s">
        <v>441</v>
      </c>
      <c r="E185" s="201" t="s">
        <v>442</v>
      </c>
      <c r="F185" s="202" t="s">
        <v>443</v>
      </c>
      <c r="H185" s="186" t="s">
        <v>444</v>
      </c>
      <c r="I185" s="183"/>
      <c r="J185" s="189" t="s">
        <v>439</v>
      </c>
      <c r="K185" s="196"/>
      <c r="L185" s="197"/>
      <c r="M185" s="197"/>
      <c r="N185" s="197"/>
      <c r="O185" s="197"/>
      <c r="P185" s="197"/>
      <c r="Q185" s="197"/>
      <c r="R185" s="198"/>
    </row>
    <row r="186" spans="1:18" ht="21.6" customHeight="1">
      <c r="A186" s="164"/>
      <c r="B186" s="750" t="s">
        <v>445</v>
      </c>
      <c r="C186" s="751"/>
      <c r="D186" s="203">
        <f>SUM(I189)</f>
        <v>0</v>
      </c>
      <c r="E186" s="204"/>
      <c r="F186" s="205">
        <f>SUM(E186-D186)</f>
        <v>0</v>
      </c>
      <c r="H186" s="206" t="s">
        <v>446</v>
      </c>
      <c r="I186" s="182"/>
    </row>
    <row r="187" spans="1:18" ht="18" customHeight="1">
      <c r="B187" s="661" t="s">
        <v>316</v>
      </c>
      <c r="C187" s="662"/>
      <c r="D187" s="662"/>
      <c r="E187" s="662"/>
      <c r="F187" s="663"/>
      <c r="H187" s="207"/>
      <c r="I187" s="208"/>
      <c r="J187" s="168"/>
    </row>
    <row r="188" spans="1:18" ht="18" customHeight="1">
      <c r="B188" s="687" t="s">
        <v>447</v>
      </c>
      <c r="C188" s="688"/>
      <c r="D188" s="209">
        <v>0</v>
      </c>
      <c r="E188" s="204"/>
      <c r="F188" s="205">
        <f t="shared" ref="F188:F194" si="0">SUM(E188-D188)</f>
        <v>0</v>
      </c>
      <c r="H188" s="182"/>
      <c r="I188" s="182"/>
    </row>
    <row r="189" spans="1:18" ht="18" customHeight="1">
      <c r="B189" s="687" t="s">
        <v>448</v>
      </c>
      <c r="C189" s="688"/>
      <c r="D189" s="209">
        <v>0</v>
      </c>
      <c r="E189" s="204"/>
      <c r="F189" s="205">
        <f t="shared" si="0"/>
        <v>0</v>
      </c>
      <c r="H189" s="206" t="s">
        <v>173</v>
      </c>
      <c r="I189" s="206">
        <f>SUM(I181:I188)</f>
        <v>0</v>
      </c>
    </row>
    <row r="190" spans="1:18" ht="18" customHeight="1">
      <c r="B190" s="687" t="s">
        <v>449</v>
      </c>
      <c r="C190" s="688"/>
      <c r="D190" s="209">
        <v>0</v>
      </c>
      <c r="E190" s="204"/>
      <c r="F190" s="205">
        <f t="shared" si="0"/>
        <v>0</v>
      </c>
      <c r="G190" s="172"/>
    </row>
    <row r="191" spans="1:18" ht="18" customHeight="1">
      <c r="B191" s="687" t="s">
        <v>450</v>
      </c>
      <c r="C191" s="688"/>
      <c r="D191" s="209">
        <v>0</v>
      </c>
      <c r="E191" s="204"/>
      <c r="F191" s="205">
        <f t="shared" si="0"/>
        <v>0</v>
      </c>
    </row>
    <row r="192" spans="1:18" ht="18" customHeight="1">
      <c r="B192" s="687" t="s">
        <v>451</v>
      </c>
      <c r="C192" s="688"/>
      <c r="D192" s="209">
        <v>0</v>
      </c>
      <c r="E192" s="204"/>
      <c r="F192" s="205">
        <f t="shared" si="0"/>
        <v>0</v>
      </c>
      <c r="I192" s="175"/>
      <c r="J192" s="175"/>
      <c r="K192" s="175"/>
      <c r="L192" s="175"/>
      <c r="M192" s="175"/>
      <c r="N192" s="175"/>
      <c r="O192" s="175"/>
      <c r="P192" s="175"/>
      <c r="Q192" s="175"/>
      <c r="R192" s="175"/>
    </row>
    <row r="193" spans="1:18" ht="18" customHeight="1">
      <c r="B193" s="687" t="s">
        <v>452</v>
      </c>
      <c r="C193" s="688"/>
      <c r="D193" s="209">
        <v>500</v>
      </c>
      <c r="E193" s="204"/>
      <c r="F193" s="205">
        <f t="shared" si="0"/>
        <v>-500</v>
      </c>
      <c r="H193" s="175"/>
      <c r="I193" s="175"/>
      <c r="J193" s="175"/>
      <c r="K193" s="175"/>
      <c r="L193" s="175"/>
      <c r="M193" s="175"/>
      <c r="N193" s="175"/>
      <c r="O193" s="175"/>
      <c r="P193" s="175"/>
      <c r="Q193" s="175"/>
      <c r="R193" s="175"/>
    </row>
    <row r="194" spans="1:18" ht="18" customHeight="1">
      <c r="B194" s="687" t="s">
        <v>453</v>
      </c>
      <c r="C194" s="688"/>
      <c r="D194" s="209">
        <v>0</v>
      </c>
      <c r="E194" s="204"/>
      <c r="F194" s="205">
        <f t="shared" si="0"/>
        <v>0</v>
      </c>
    </row>
    <row r="195" spans="1:18" ht="18" customHeight="1">
      <c r="B195" s="661" t="s">
        <v>322</v>
      </c>
      <c r="C195" s="662"/>
      <c r="D195" s="662"/>
      <c r="E195" s="662"/>
      <c r="F195" s="663"/>
    </row>
    <row r="196" spans="1:18" ht="37.5" customHeight="1">
      <c r="B196" s="687" t="s">
        <v>454</v>
      </c>
      <c r="C196" s="688"/>
      <c r="D196" s="209">
        <v>0</v>
      </c>
      <c r="E196" s="204"/>
      <c r="F196" s="205">
        <f>SUM(E196-D196)</f>
        <v>0</v>
      </c>
    </row>
    <row r="197" spans="1:18" ht="18" customHeight="1">
      <c r="B197" s="661" t="s">
        <v>455</v>
      </c>
      <c r="C197" s="662"/>
      <c r="D197" s="662"/>
      <c r="E197" s="662"/>
      <c r="F197" s="663"/>
    </row>
    <row r="198" spans="1:18" ht="27" customHeight="1">
      <c r="B198" s="687" t="s">
        <v>456</v>
      </c>
      <c r="C198" s="712"/>
      <c r="D198" s="209">
        <f>+'Site Costs'!D27</f>
        <v>2200</v>
      </c>
      <c r="E198" s="204"/>
      <c r="F198" s="205">
        <f>SUM(E198-D198)</f>
        <v>-2200</v>
      </c>
    </row>
    <row r="199" spans="1:18" s="449" customFormat="1" ht="18" customHeight="1">
      <c r="A199" s="448"/>
      <c r="B199" s="661" t="s">
        <v>1004</v>
      </c>
      <c r="C199" s="662"/>
      <c r="D199" s="662"/>
      <c r="E199" s="662"/>
      <c r="F199" s="663"/>
    </row>
    <row r="200" spans="1:18" s="449" customFormat="1" ht="15">
      <c r="A200" s="448"/>
      <c r="B200" s="687" t="s">
        <v>1363</v>
      </c>
      <c r="C200" s="688"/>
      <c r="D200" s="209">
        <v>4000</v>
      </c>
      <c r="E200" s="204"/>
      <c r="F200" s="487">
        <f>SUM(E200-D200)</f>
        <v>-4000</v>
      </c>
    </row>
    <row r="201" spans="1:18" ht="18" customHeight="1">
      <c r="B201" s="661" t="s">
        <v>457</v>
      </c>
      <c r="C201" s="662"/>
      <c r="D201" s="662"/>
      <c r="E201" s="662"/>
      <c r="F201" s="663"/>
    </row>
    <row r="202" spans="1:18" ht="27" customHeight="1">
      <c r="B202" s="687" t="s">
        <v>458</v>
      </c>
      <c r="C202" s="712"/>
      <c r="D202" s="209" t="s">
        <v>459</v>
      </c>
      <c r="E202" s="204"/>
      <c r="F202" s="210" t="s">
        <v>459</v>
      </c>
    </row>
    <row r="203" spans="1:18" ht="18" customHeight="1">
      <c r="A203" s="40"/>
      <c r="B203" s="689" t="s">
        <v>460</v>
      </c>
      <c r="C203" s="690"/>
      <c r="D203" s="690"/>
      <c r="E203" s="690"/>
      <c r="F203" s="691"/>
    </row>
    <row r="204" spans="1:18" ht="18" customHeight="1">
      <c r="A204" s="40"/>
      <c r="B204" s="661" t="s">
        <v>332</v>
      </c>
      <c r="C204" s="662"/>
      <c r="D204" s="662"/>
      <c r="E204" s="662"/>
      <c r="F204" s="663"/>
    </row>
    <row r="205" spans="1:18" ht="18" customHeight="1">
      <c r="A205" s="40"/>
      <c r="B205" s="687" t="s">
        <v>491</v>
      </c>
      <c r="C205" s="711"/>
      <c r="D205" s="209">
        <v>5200</v>
      </c>
      <c r="E205" s="204"/>
      <c r="F205" s="205">
        <f>SUM(E205-D205)</f>
        <v>-5200</v>
      </c>
    </row>
    <row r="206" spans="1:18" ht="18" customHeight="1">
      <c r="A206" s="40"/>
      <c r="B206" s="687" t="s">
        <v>492</v>
      </c>
      <c r="C206" s="711"/>
      <c r="D206" s="209">
        <f>+CEILING((9.55+24.57)*'House extension'!D33+(2*'House extension'!D34)+'House extension'!D35+(7*'House extension'!D37),100)</f>
        <v>17200</v>
      </c>
      <c r="E206" s="204"/>
      <c r="F206" s="205">
        <f>SUM(E206-D206)</f>
        <v>-17200</v>
      </c>
    </row>
    <row r="207" spans="1:18" ht="18" customHeight="1">
      <c r="A207" s="40"/>
      <c r="B207" s="687" t="s">
        <v>944</v>
      </c>
      <c r="C207" s="711"/>
      <c r="D207" s="209">
        <f>(6*('Windows &amp; Sliding Doors'!P16-'Windows &amp; Sliding Doors'!D16)+1*('Windows &amp; Sliding Doors'!P14-'Windows &amp; Sliding Doors'!J14))</f>
        <v>4430</v>
      </c>
      <c r="E207" s="204"/>
      <c r="F207" s="205">
        <f>SUM(E207-D207)</f>
        <v>-4430</v>
      </c>
    </row>
    <row r="208" spans="1:18" ht="18" customHeight="1">
      <c r="A208" s="40"/>
      <c r="B208" s="661" t="s">
        <v>334</v>
      </c>
      <c r="C208" s="662"/>
      <c r="D208" s="662"/>
      <c r="E208" s="662"/>
      <c r="F208" s="663"/>
    </row>
    <row r="209" spans="1:8" ht="18" customHeight="1">
      <c r="A209" s="40"/>
      <c r="B209" s="687" t="s">
        <v>497</v>
      </c>
      <c r="C209" s="711"/>
      <c r="D209" s="209">
        <f>+CEILING((254.78+52.17)*'House extension'!D20,50)</f>
        <v>5850</v>
      </c>
      <c r="E209" s="204"/>
      <c r="F209" s="205">
        <f>SUM(E209-D209)</f>
        <v>-5850</v>
      </c>
    </row>
    <row r="210" spans="1:8" s="175" customFormat="1" ht="26.1" customHeight="1">
      <c r="B210" s="687" t="s">
        <v>945</v>
      </c>
      <c r="C210" s="711"/>
      <c r="D210" s="209">
        <v>22000</v>
      </c>
      <c r="E210" s="204"/>
      <c r="F210" s="205">
        <f>SUM(E210-D210)</f>
        <v>-22000</v>
      </c>
    </row>
    <row r="211" spans="1:8" s="175" customFormat="1" ht="18" customHeight="1">
      <c r="B211" s="661" t="s">
        <v>461</v>
      </c>
      <c r="C211" s="662"/>
      <c r="D211" s="662"/>
      <c r="E211" s="662"/>
      <c r="F211" s="663"/>
    </row>
    <row r="212" spans="1:8" ht="18" customHeight="1">
      <c r="A212" s="40"/>
      <c r="B212" s="687" t="s">
        <v>498</v>
      </c>
      <c r="C212" s="711"/>
      <c r="D212" s="209">
        <f>38*'House extension'!D17</f>
        <v>3230</v>
      </c>
      <c r="E212" s="204"/>
      <c r="F212" s="205">
        <f>SUM(E212-D212)</f>
        <v>-3230</v>
      </c>
    </row>
    <row r="213" spans="1:8" ht="18" customHeight="1">
      <c r="A213" s="40"/>
      <c r="B213" s="661" t="s">
        <v>1004</v>
      </c>
      <c r="C213" s="662"/>
      <c r="D213" s="662"/>
      <c r="E213" s="662"/>
      <c r="F213" s="663"/>
    </row>
    <row r="214" spans="1:8" ht="18" customHeight="1">
      <c r="A214" s="40"/>
      <c r="B214" s="687" t="s">
        <v>949</v>
      </c>
      <c r="C214" s="688"/>
      <c r="D214" s="209">
        <f>CEILING((17.5*'House extension'!D48),10)</f>
        <v>350</v>
      </c>
      <c r="E214" s="204"/>
      <c r="F214" s="205">
        <f>SUM(E214-D214)</f>
        <v>-350</v>
      </c>
    </row>
    <row r="215" spans="1:8" ht="18" customHeight="1">
      <c r="A215" s="40"/>
      <c r="B215" s="687" t="s">
        <v>1005</v>
      </c>
      <c r="C215" s="688"/>
      <c r="D215" s="209">
        <f>+CEILING(('House extension'!D52-'House extension'!D51)*255,5)</f>
        <v>510</v>
      </c>
      <c r="E215" s="204"/>
      <c r="F215" s="205">
        <f>SUM(E215-D215)</f>
        <v>-510</v>
      </c>
    </row>
    <row r="216" spans="1:8" ht="18" customHeight="1">
      <c r="A216" s="40"/>
      <c r="B216" s="687" t="s">
        <v>1006</v>
      </c>
      <c r="C216" s="688"/>
      <c r="D216" s="209">
        <f>+('Windows &amp; Sliding Doors'!M14-'Windows &amp; Sliding Doors'!J14)+2*('Windows &amp; Sliding Doors'!M16-'Windows &amp; Sliding Doors'!J16)</f>
        <v>755</v>
      </c>
      <c r="E216" s="204"/>
      <c r="F216" s="205">
        <f>SUM(E216-D216)</f>
        <v>-755</v>
      </c>
    </row>
    <row r="217" spans="1:8" ht="18" customHeight="1">
      <c r="A217" s="40"/>
      <c r="B217" s="661" t="s">
        <v>462</v>
      </c>
      <c r="C217" s="662"/>
      <c r="D217" s="662"/>
      <c r="E217" s="662"/>
      <c r="F217" s="663"/>
    </row>
    <row r="218" spans="1:8" ht="18" customHeight="1">
      <c r="A218" s="40"/>
      <c r="B218" s="687" t="s">
        <v>493</v>
      </c>
      <c r="C218" s="711"/>
      <c r="D218" s="209">
        <f>7330+1650</f>
        <v>8980</v>
      </c>
      <c r="E218" s="204"/>
      <c r="F218" s="205">
        <f t="shared" ref="F218:F224" si="1">SUM(E218-D218)</f>
        <v>-8980</v>
      </c>
      <c r="H218" s="40" t="s">
        <v>494</v>
      </c>
    </row>
    <row r="219" spans="1:8" ht="18" customHeight="1">
      <c r="A219" s="40"/>
      <c r="B219" s="687" t="s">
        <v>495</v>
      </c>
      <c r="C219" s="711"/>
      <c r="D219" s="209">
        <v>2900</v>
      </c>
      <c r="E219" s="204"/>
      <c r="F219" s="205">
        <f t="shared" si="1"/>
        <v>-2900</v>
      </c>
    </row>
    <row r="220" spans="1:8" ht="18" customHeight="1">
      <c r="A220" s="40"/>
      <c r="B220" s="687" t="s">
        <v>496</v>
      </c>
      <c r="C220" s="711"/>
      <c r="D220" s="209">
        <f>+'Swing Doors'!D12</f>
        <v>175</v>
      </c>
      <c r="E220" s="204"/>
      <c r="F220" s="205">
        <f t="shared" si="1"/>
        <v>-175</v>
      </c>
    </row>
    <row r="221" spans="1:8" ht="18" customHeight="1">
      <c r="A221" s="40"/>
      <c r="B221" s="687" t="s">
        <v>946</v>
      </c>
      <c r="C221" s="711"/>
      <c r="D221" s="209">
        <f>95*'House extension'!D41</f>
        <v>1425</v>
      </c>
      <c r="E221" s="204"/>
      <c r="F221" s="205">
        <f t="shared" si="1"/>
        <v>-1425</v>
      </c>
      <c r="H221" s="40" t="s">
        <v>499</v>
      </c>
    </row>
    <row r="222" spans="1:8" ht="18" customHeight="1">
      <c r="A222" s="40"/>
      <c r="B222" s="687" t="s">
        <v>947</v>
      </c>
      <c r="C222" s="711"/>
      <c r="D222" s="209">
        <f>2*'Robes &amp; Shelving'!D19</f>
        <v>370</v>
      </c>
      <c r="E222" s="204"/>
      <c r="F222" s="205">
        <f t="shared" si="1"/>
        <v>-370</v>
      </c>
    </row>
    <row r="223" spans="1:8" ht="18" customHeight="1">
      <c r="A223" s="40"/>
      <c r="B223" s="687" t="s">
        <v>948</v>
      </c>
      <c r="C223" s="711"/>
      <c r="D223" s="209">
        <v>250</v>
      </c>
      <c r="E223" s="204"/>
      <c r="F223" s="205">
        <f t="shared" si="1"/>
        <v>-250</v>
      </c>
    </row>
    <row r="224" spans="1:8" ht="18" customHeight="1">
      <c r="A224" s="40"/>
      <c r="B224" s="687" t="s">
        <v>1018</v>
      </c>
      <c r="C224" s="688"/>
      <c r="D224" s="209">
        <v>750</v>
      </c>
      <c r="E224" s="204"/>
      <c r="F224" s="205">
        <f t="shared" si="1"/>
        <v>-750</v>
      </c>
    </row>
    <row r="225" spans="1:6" s="175" customFormat="1" ht="18" customHeight="1">
      <c r="B225" s="661" t="s">
        <v>950</v>
      </c>
      <c r="C225" s="662"/>
      <c r="D225" s="662"/>
      <c r="E225" s="662"/>
      <c r="F225" s="663"/>
    </row>
    <row r="226" spans="1:6" ht="18" customHeight="1">
      <c r="A226" s="40"/>
      <c r="B226" s="687" t="s">
        <v>1208</v>
      </c>
      <c r="C226" s="711"/>
      <c r="D226" s="209">
        <f>12*('Swing Doors'!D28-'Swing Doors'!D26)</f>
        <v>840</v>
      </c>
      <c r="E226" s="204"/>
      <c r="F226" s="205">
        <f>SUM(E226-D226)</f>
        <v>-840</v>
      </c>
    </row>
    <row r="227" spans="1:6" ht="18" customHeight="1">
      <c r="A227" s="40"/>
      <c r="B227" s="687" t="s">
        <v>1209</v>
      </c>
      <c r="C227" s="711"/>
      <c r="D227" s="209">
        <f>12*175</f>
        <v>2100</v>
      </c>
      <c r="E227" s="204"/>
      <c r="F227" s="205">
        <f>SUM(E227-D227)</f>
        <v>-2100</v>
      </c>
    </row>
    <row r="228" spans="1:6" ht="18" customHeight="1">
      <c r="A228" s="40"/>
      <c r="B228" s="687" t="s">
        <v>1210</v>
      </c>
      <c r="C228" s="711"/>
      <c r="D228" s="209">
        <f>6*50</f>
        <v>300</v>
      </c>
      <c r="E228" s="204"/>
      <c r="F228" s="205">
        <f>SUM(E228-D228)</f>
        <v>-300</v>
      </c>
    </row>
    <row r="229" spans="1:6" ht="18" customHeight="1">
      <c r="B229" s="661" t="s">
        <v>951</v>
      </c>
      <c r="C229" s="662"/>
      <c r="D229" s="662"/>
      <c r="E229" s="662"/>
      <c r="F229" s="663"/>
    </row>
    <row r="230" spans="1:6" ht="18" customHeight="1">
      <c r="A230" s="40"/>
      <c r="B230" s="655" t="s">
        <v>952</v>
      </c>
      <c r="C230" s="706"/>
      <c r="D230" s="209">
        <v>2850</v>
      </c>
      <c r="E230" s="204"/>
      <c r="F230" s="205">
        <f>SUM(E230-D230)</f>
        <v>-2850</v>
      </c>
    </row>
    <row r="231" spans="1:6" ht="18" customHeight="1">
      <c r="A231" s="40"/>
      <c r="B231" s="655" t="s">
        <v>953</v>
      </c>
      <c r="C231" s="706"/>
      <c r="D231" s="209">
        <v>2850</v>
      </c>
      <c r="E231" s="204"/>
      <c r="F231" s="205">
        <f>SUM(E231-D231)</f>
        <v>-2850</v>
      </c>
    </row>
    <row r="232" spans="1:6" ht="18" customHeight="1">
      <c r="A232" s="40"/>
      <c r="B232" s="655" t="s">
        <v>954</v>
      </c>
      <c r="C232" s="706"/>
      <c r="D232" s="209">
        <v>6500</v>
      </c>
      <c r="E232" s="204"/>
      <c r="F232" s="205">
        <f>SUM(E232-D232)</f>
        <v>-6500</v>
      </c>
    </row>
    <row r="233" spans="1:6" ht="18" customHeight="1">
      <c r="A233" s="40"/>
      <c r="B233" s="655" t="s">
        <v>1017</v>
      </c>
      <c r="C233" s="706"/>
      <c r="D233" s="209">
        <f>3220+500</f>
        <v>3720</v>
      </c>
      <c r="E233" s="204"/>
      <c r="F233" s="205">
        <f>SUM(E233-D233)</f>
        <v>-3720</v>
      </c>
    </row>
    <row r="234" spans="1:6" ht="18" customHeight="1">
      <c r="A234" s="40"/>
      <c r="B234" s="661" t="s">
        <v>352</v>
      </c>
      <c r="C234" s="662"/>
      <c r="D234" s="662"/>
      <c r="E234" s="662"/>
      <c r="F234" s="663"/>
    </row>
    <row r="235" spans="1:6" ht="18" customHeight="1">
      <c r="A235" s="40"/>
      <c r="B235" s="655"/>
      <c r="C235" s="706"/>
      <c r="D235" s="209">
        <v>0</v>
      </c>
      <c r="E235" s="204"/>
      <c r="F235" s="205">
        <f>SUM(E235-D235)</f>
        <v>0</v>
      </c>
    </row>
    <row r="236" spans="1:6" ht="18" customHeight="1">
      <c r="A236" s="40"/>
      <c r="B236" s="655"/>
      <c r="C236" s="706"/>
      <c r="D236" s="209">
        <v>0</v>
      </c>
      <c r="E236" s="204"/>
      <c r="F236" s="205">
        <f>SUM(E236-D236)</f>
        <v>0</v>
      </c>
    </row>
    <row r="237" spans="1:6" s="175" customFormat="1" ht="18" customHeight="1">
      <c r="B237" s="661" t="s">
        <v>955</v>
      </c>
      <c r="C237" s="662"/>
      <c r="D237" s="662"/>
      <c r="E237" s="662"/>
      <c r="F237" s="663"/>
    </row>
    <row r="238" spans="1:6" ht="18" customHeight="1">
      <c r="A238" s="40"/>
      <c r="B238" s="687" t="s">
        <v>956</v>
      </c>
      <c r="C238" s="711"/>
      <c r="D238" s="209">
        <f>CEILING(('House extension'!D6*5)+(6.5*'House extension'!D9)+'Swing Doors'!D26+Electrical!D30,10)</f>
        <v>4370</v>
      </c>
      <c r="E238" s="204"/>
      <c r="F238" s="205">
        <f>SUM(E238-D238)</f>
        <v>-4370</v>
      </c>
    </row>
    <row r="239" spans="1:6" ht="18" customHeight="1">
      <c r="A239" s="40"/>
      <c r="B239" s="687" t="s">
        <v>957</v>
      </c>
      <c r="C239" s="711"/>
      <c r="D239" s="209">
        <f>CEILING(9*'Floor Coverings'!D10,5)</f>
        <v>930</v>
      </c>
      <c r="E239" s="204"/>
      <c r="F239" s="205">
        <f>SUM(E239-D239)</f>
        <v>-930</v>
      </c>
    </row>
    <row r="240" spans="1:6" ht="18" customHeight="1">
      <c r="A240" s="40"/>
      <c r="B240" s="687" t="s">
        <v>958</v>
      </c>
      <c r="C240" s="711"/>
      <c r="D240" s="209">
        <f>Cabinetry!E33+11*Cabinetry!E34+Cabinetry!E69</f>
        <v>3450</v>
      </c>
      <c r="E240" s="204"/>
      <c r="F240" s="205">
        <f>SUM(E240-D240)</f>
        <v>-3450</v>
      </c>
    </row>
    <row r="241" spans="1:6" ht="18" customHeight="1">
      <c r="A241" s="40"/>
      <c r="B241" s="687" t="s">
        <v>959</v>
      </c>
      <c r="C241" s="711"/>
      <c r="D241" s="209" t="e">
        <f>CEILING(#REF!+2*'House extension'!D9+'Swing Doors'!D26+'Windows &amp; Sliding Doors'!D9+Electrical!D30,5)</f>
        <v>#REF!</v>
      </c>
      <c r="E241" s="204"/>
      <c r="F241" s="205" t="e">
        <f>SUM(E241-D241)</f>
        <v>#REF!</v>
      </c>
    </row>
    <row r="242" spans="1:6" ht="18" customHeight="1">
      <c r="A242" s="40"/>
      <c r="B242" s="687" t="s">
        <v>960</v>
      </c>
      <c r="C242" s="711"/>
      <c r="D242" s="209" t="s">
        <v>459</v>
      </c>
      <c r="E242" s="204"/>
      <c r="F242" s="205">
        <v>0</v>
      </c>
    </row>
    <row r="243" spans="1:6" ht="18" customHeight="1">
      <c r="A243" s="40"/>
      <c r="B243" s="661" t="s">
        <v>366</v>
      </c>
      <c r="C243" s="662"/>
      <c r="D243" s="662"/>
      <c r="E243" s="662"/>
      <c r="F243" s="663"/>
    </row>
    <row r="244" spans="1:6" ht="18" customHeight="1">
      <c r="A244" s="40"/>
      <c r="B244" s="655" t="s">
        <v>500</v>
      </c>
      <c r="C244" s="706"/>
      <c r="D244" s="209">
        <f>+Cabinetry!E47</f>
        <v>685</v>
      </c>
      <c r="E244" s="204"/>
      <c r="F244" s="205">
        <f t="shared" ref="F244:F255" si="2">SUM(E244-D244)</f>
        <v>-685</v>
      </c>
    </row>
    <row r="245" spans="1:6" ht="26.1" customHeight="1">
      <c r="A245" s="40"/>
      <c r="B245" s="655" t="s">
        <v>501</v>
      </c>
      <c r="C245" s="706"/>
      <c r="D245" s="209">
        <f>+Appliances!D11+Appliances!D12+Appliances!D13-Appliances!D3-Appliances!D4-Appliances!D5</f>
        <v>1520</v>
      </c>
      <c r="E245" s="204"/>
      <c r="F245" s="205">
        <f t="shared" si="2"/>
        <v>-1520</v>
      </c>
    </row>
    <row r="246" spans="1:6" ht="18" customHeight="1">
      <c r="A246" s="40"/>
      <c r="B246" s="655" t="s">
        <v>502</v>
      </c>
      <c r="C246" s="706"/>
      <c r="D246" s="209">
        <f>100*4</f>
        <v>400</v>
      </c>
      <c r="E246" s="204"/>
      <c r="F246" s="205">
        <f t="shared" si="2"/>
        <v>-400</v>
      </c>
    </row>
    <row r="247" spans="1:6" ht="18" customHeight="1">
      <c r="A247" s="40"/>
      <c r="B247" s="655" t="s">
        <v>961</v>
      </c>
      <c r="C247" s="706"/>
      <c r="D247" s="209">
        <f>120*4</f>
        <v>480</v>
      </c>
      <c r="E247" s="204"/>
      <c r="F247" s="205">
        <f>SUM(E247-D247)</f>
        <v>-480</v>
      </c>
    </row>
    <row r="248" spans="1:6" ht="18" customHeight="1">
      <c r="A248" s="40"/>
      <c r="B248" s="655" t="s">
        <v>503</v>
      </c>
      <c r="C248" s="706"/>
      <c r="D248" s="209">
        <f>+Cabinetry!E62</f>
        <v>250</v>
      </c>
      <c r="E248" s="204"/>
      <c r="F248" s="205">
        <f t="shared" si="2"/>
        <v>-250</v>
      </c>
    </row>
    <row r="249" spans="1:6" ht="18" customHeight="1">
      <c r="A249" s="40"/>
      <c r="B249" s="655" t="s">
        <v>504</v>
      </c>
      <c r="C249" s="706"/>
      <c r="D249" s="209">
        <f>4*Cabinetry!E66</f>
        <v>1320</v>
      </c>
      <c r="E249" s="204"/>
      <c r="F249" s="205">
        <f t="shared" si="2"/>
        <v>-1320</v>
      </c>
    </row>
    <row r="250" spans="1:6" ht="18" customHeight="1">
      <c r="A250" s="40"/>
      <c r="B250" s="655" t="s">
        <v>962</v>
      </c>
      <c r="C250" s="706"/>
      <c r="D250" s="209">
        <v>5000</v>
      </c>
      <c r="E250" s="204"/>
      <c r="F250" s="205">
        <f t="shared" si="2"/>
        <v>-5000</v>
      </c>
    </row>
    <row r="251" spans="1:6" ht="18" customHeight="1">
      <c r="A251" s="40"/>
      <c r="B251" s="687" t="s">
        <v>505</v>
      </c>
      <c r="C251" s="711"/>
      <c r="D251" s="209">
        <f>((20+14)*Cabinetry!E56+(11+35+14)*Cabinetry!E40)</f>
        <v>7130</v>
      </c>
      <c r="E251" s="204"/>
      <c r="F251" s="205">
        <f t="shared" si="2"/>
        <v>-7130</v>
      </c>
    </row>
    <row r="252" spans="1:6" ht="18" customHeight="1">
      <c r="A252" s="40"/>
      <c r="B252" s="687" t="s">
        <v>506</v>
      </c>
      <c r="C252" s="711"/>
      <c r="D252" s="209">
        <f>+Cabinetry!E58</f>
        <v>860</v>
      </c>
      <c r="E252" s="204"/>
      <c r="F252" s="205">
        <f t="shared" si="2"/>
        <v>-860</v>
      </c>
    </row>
    <row r="253" spans="1:6" ht="18" customHeight="1">
      <c r="A253" s="40"/>
      <c r="B253" s="687" t="s">
        <v>507</v>
      </c>
      <c r="C253" s="711"/>
      <c r="D253" s="209">
        <v>740</v>
      </c>
      <c r="E253" s="204"/>
      <c r="F253" s="205">
        <f t="shared" si="2"/>
        <v>-740</v>
      </c>
    </row>
    <row r="254" spans="1:6" ht="18" customHeight="1">
      <c r="A254" s="40"/>
      <c r="B254" s="687" t="s">
        <v>508</v>
      </c>
      <c r="C254" s="711"/>
      <c r="D254" s="209">
        <f>+Cabinetry!E70-Cabinetry!E69</f>
        <v>190</v>
      </c>
      <c r="E254" s="204"/>
      <c r="F254" s="205">
        <f t="shared" si="2"/>
        <v>-190</v>
      </c>
    </row>
    <row r="255" spans="1:6" ht="18" customHeight="1">
      <c r="A255" s="40"/>
      <c r="B255" s="687" t="s">
        <v>963</v>
      </c>
      <c r="C255" s="711"/>
      <c r="D255" s="209">
        <v>390</v>
      </c>
      <c r="E255" s="204"/>
      <c r="F255" s="205">
        <f t="shared" si="2"/>
        <v>-390</v>
      </c>
    </row>
    <row r="256" spans="1:6" ht="18" customHeight="1">
      <c r="A256" s="40"/>
      <c r="B256" s="661" t="s">
        <v>463</v>
      </c>
      <c r="C256" s="662"/>
      <c r="D256" s="662"/>
      <c r="E256" s="662"/>
      <c r="F256" s="663"/>
    </row>
    <row r="257" spans="1:8" ht="18" customHeight="1">
      <c r="A257" s="40"/>
      <c r="B257" s="655" t="s">
        <v>509</v>
      </c>
      <c r="C257" s="706"/>
      <c r="D257" s="209">
        <f>200+Cabinetry!E66</f>
        <v>530</v>
      </c>
      <c r="E257" s="204"/>
      <c r="F257" s="205">
        <f t="shared" ref="F257:F263" si="3">SUM(E257-D257)</f>
        <v>-530</v>
      </c>
    </row>
    <row r="258" spans="1:8" ht="18" customHeight="1">
      <c r="A258" s="40"/>
      <c r="B258" s="655" t="s">
        <v>510</v>
      </c>
      <c r="C258" s="706"/>
      <c r="D258" s="209">
        <f>90+90</f>
        <v>180</v>
      </c>
      <c r="E258" s="204"/>
      <c r="F258" s="205">
        <f t="shared" si="3"/>
        <v>-180</v>
      </c>
    </row>
    <row r="259" spans="1:8" ht="18" customHeight="1">
      <c r="A259" s="40"/>
      <c r="B259" s="687" t="s">
        <v>511</v>
      </c>
      <c r="C259" s="711"/>
      <c r="D259" s="209">
        <f>CEILING(1.8*'House extension'!D9+200,10)</f>
        <v>560</v>
      </c>
      <c r="E259" s="211"/>
      <c r="F259" s="205">
        <f t="shared" si="3"/>
        <v>-560</v>
      </c>
      <c r="H259" s="40" t="s">
        <v>964</v>
      </c>
    </row>
    <row r="260" spans="1:8" ht="18" customHeight="1">
      <c r="B260" s="655" t="s">
        <v>965</v>
      </c>
      <c r="C260" s="706"/>
      <c r="D260" s="209">
        <v>140</v>
      </c>
      <c r="E260" s="204"/>
      <c r="F260" s="205">
        <f>SUM(E260-D260)</f>
        <v>-140</v>
      </c>
    </row>
    <row r="261" spans="1:8" ht="18" customHeight="1">
      <c r="B261" s="655" t="s">
        <v>966</v>
      </c>
      <c r="C261" s="706"/>
      <c r="D261" s="209">
        <v>50</v>
      </c>
      <c r="E261" s="204"/>
      <c r="F261" s="205">
        <f>SUM(E261-D261)</f>
        <v>-50</v>
      </c>
    </row>
    <row r="262" spans="1:8" ht="18" customHeight="1">
      <c r="A262" s="40"/>
      <c r="B262" s="687" t="s">
        <v>512</v>
      </c>
      <c r="C262" s="711"/>
      <c r="D262" s="209">
        <f>18*Cabinetry!E11</f>
        <v>900</v>
      </c>
      <c r="E262" s="211"/>
      <c r="F262" s="205">
        <f t="shared" si="3"/>
        <v>-900</v>
      </c>
    </row>
    <row r="263" spans="1:8" ht="18" customHeight="1">
      <c r="A263" s="40"/>
      <c r="B263" s="687" t="s">
        <v>513</v>
      </c>
      <c r="C263" s="711"/>
      <c r="D263" s="209">
        <f>50*2</f>
        <v>100</v>
      </c>
      <c r="E263" s="211"/>
      <c r="F263" s="205">
        <f t="shared" si="3"/>
        <v>-100</v>
      </c>
    </row>
    <row r="264" spans="1:8" ht="18" customHeight="1">
      <c r="A264" s="40"/>
      <c r="B264" s="661" t="s">
        <v>515</v>
      </c>
      <c r="C264" s="662"/>
      <c r="D264" s="662"/>
      <c r="E264" s="662"/>
      <c r="F264" s="663"/>
    </row>
    <row r="265" spans="1:8" ht="18" customHeight="1">
      <c r="B265" s="655" t="s">
        <v>966</v>
      </c>
      <c r="C265" s="706"/>
      <c r="D265" s="209">
        <v>50</v>
      </c>
      <c r="E265" s="204"/>
      <c r="F265" s="205">
        <f>SUM(E265-D265)</f>
        <v>-50</v>
      </c>
    </row>
    <row r="266" spans="1:8" ht="18" customHeight="1">
      <c r="A266" s="40"/>
      <c r="B266" s="687" t="s">
        <v>514</v>
      </c>
      <c r="C266" s="711"/>
      <c r="D266" s="209">
        <v>105</v>
      </c>
      <c r="E266" s="211"/>
      <c r="F266" s="205">
        <f>SUM(E266-D266)</f>
        <v>-105</v>
      </c>
    </row>
    <row r="267" spans="1:8" ht="18" customHeight="1">
      <c r="A267" s="40"/>
      <c r="B267" s="661" t="s">
        <v>464</v>
      </c>
      <c r="C267" s="662"/>
      <c r="D267" s="662"/>
      <c r="E267" s="662"/>
      <c r="F267" s="663"/>
    </row>
    <row r="268" spans="1:8" ht="18" customHeight="1">
      <c r="A268" s="40"/>
      <c r="B268" s="655" t="s">
        <v>516</v>
      </c>
      <c r="C268" s="709"/>
      <c r="D268" s="209">
        <v>200</v>
      </c>
      <c r="E268" s="204"/>
      <c r="F268" s="205">
        <f t="shared" ref="F268:F273" si="4">SUM(E268-D268)</f>
        <v>-200</v>
      </c>
    </row>
    <row r="269" spans="1:8" ht="18" customHeight="1">
      <c r="A269" s="40"/>
      <c r="B269" s="655" t="s">
        <v>517</v>
      </c>
      <c r="C269" s="706"/>
      <c r="D269" s="209">
        <v>90</v>
      </c>
      <c r="E269" s="204"/>
      <c r="F269" s="205">
        <f t="shared" si="4"/>
        <v>-90</v>
      </c>
    </row>
    <row r="270" spans="1:8" ht="18" customHeight="1">
      <c r="A270" s="40"/>
      <c r="B270" s="655" t="s">
        <v>967</v>
      </c>
      <c r="C270" s="709"/>
      <c r="D270" s="209">
        <v>150</v>
      </c>
      <c r="E270" s="204"/>
      <c r="F270" s="205">
        <f t="shared" si="4"/>
        <v>-150</v>
      </c>
    </row>
    <row r="271" spans="1:8" ht="18" customHeight="1">
      <c r="A271" s="40"/>
      <c r="B271" s="687" t="s">
        <v>512</v>
      </c>
      <c r="C271" s="711"/>
      <c r="D271" s="209">
        <f>9*Cabinetry!E11</f>
        <v>450</v>
      </c>
      <c r="E271" s="204"/>
      <c r="F271" s="205">
        <f t="shared" si="4"/>
        <v>-450</v>
      </c>
    </row>
    <row r="272" spans="1:8" ht="18" customHeight="1">
      <c r="A272" s="40"/>
      <c r="B272" s="687" t="s">
        <v>518</v>
      </c>
      <c r="C272" s="711"/>
      <c r="D272" s="209">
        <v>1840</v>
      </c>
      <c r="E272" s="204"/>
      <c r="F272" s="205">
        <f t="shared" si="4"/>
        <v>-1840</v>
      </c>
    </row>
    <row r="273" spans="1:6" ht="18" customHeight="1">
      <c r="A273" s="40"/>
      <c r="B273" s="687" t="s">
        <v>519</v>
      </c>
      <c r="C273" s="711"/>
      <c r="D273" s="209">
        <v>300</v>
      </c>
      <c r="E273" s="204"/>
      <c r="F273" s="205">
        <f t="shared" si="4"/>
        <v>-300</v>
      </c>
    </row>
    <row r="274" spans="1:6" s="175" customFormat="1" ht="18" customHeight="1">
      <c r="B274" s="661" t="s">
        <v>968</v>
      </c>
      <c r="C274" s="662"/>
      <c r="D274" s="662"/>
      <c r="E274" s="662"/>
      <c r="F274" s="663"/>
    </row>
    <row r="275" spans="1:6" ht="18" customHeight="1">
      <c r="A275" s="40"/>
      <c r="B275" s="655" t="s">
        <v>516</v>
      </c>
      <c r="C275" s="709"/>
      <c r="D275" s="209">
        <v>200</v>
      </c>
      <c r="E275" s="204"/>
      <c r="F275" s="205">
        <f>SUM(E275-D275)</f>
        <v>-200</v>
      </c>
    </row>
    <row r="276" spans="1:6" ht="18" customHeight="1">
      <c r="A276" s="40"/>
      <c r="B276" s="655" t="s">
        <v>517</v>
      </c>
      <c r="C276" s="706"/>
      <c r="D276" s="209">
        <v>90</v>
      </c>
      <c r="E276" s="204"/>
      <c r="F276" s="205">
        <f>SUM(E276-D276)</f>
        <v>-90</v>
      </c>
    </row>
    <row r="277" spans="1:6" ht="18" customHeight="1">
      <c r="A277" s="40"/>
      <c r="B277" s="655" t="s">
        <v>967</v>
      </c>
      <c r="C277" s="709"/>
      <c r="D277" s="209">
        <v>150</v>
      </c>
      <c r="E277" s="204"/>
      <c r="F277" s="205">
        <f>SUM(E277-D277)</f>
        <v>-150</v>
      </c>
    </row>
    <row r="278" spans="1:6" ht="18" customHeight="1">
      <c r="A278" s="40"/>
      <c r="B278" s="687" t="s">
        <v>1360</v>
      </c>
      <c r="C278" s="711"/>
      <c r="D278" s="209">
        <v>480</v>
      </c>
      <c r="E278" s="204"/>
      <c r="F278" s="205">
        <f t="shared" ref="F278" si="5">SUM(E278-D278)</f>
        <v>-480</v>
      </c>
    </row>
    <row r="279" spans="1:6" ht="18" customHeight="1">
      <c r="A279" s="40"/>
      <c r="B279" s="655" t="s">
        <v>1008</v>
      </c>
      <c r="C279" s="709"/>
      <c r="D279" s="209">
        <f>CEILING('Floor Coverings'!D10*3.4,5)</f>
        <v>355</v>
      </c>
      <c r="E279" s="204"/>
      <c r="F279" s="205">
        <f>SUM(E279-D279)</f>
        <v>-355</v>
      </c>
    </row>
    <row r="280" spans="1:6" s="175" customFormat="1" ht="18" customHeight="1">
      <c r="B280" s="661" t="s">
        <v>388</v>
      </c>
      <c r="C280" s="662"/>
      <c r="D280" s="662"/>
      <c r="E280" s="662"/>
      <c r="F280" s="663"/>
    </row>
    <row r="281" spans="1:6" s="175" customFormat="1" ht="18" customHeight="1">
      <c r="B281" s="655" t="s">
        <v>520</v>
      </c>
      <c r="C281" s="709"/>
      <c r="D281" s="209">
        <f>8*Cabinetry!E19</f>
        <v>440</v>
      </c>
      <c r="E281" s="204"/>
      <c r="F281" s="205">
        <f>SUM(E281-D281)</f>
        <v>-440</v>
      </c>
    </row>
    <row r="282" spans="1:6" s="175" customFormat="1" ht="18" customHeight="1">
      <c r="B282" s="655" t="s">
        <v>521</v>
      </c>
      <c r="C282" s="709"/>
      <c r="D282" s="209">
        <v>110</v>
      </c>
      <c r="E282" s="204"/>
      <c r="F282" s="205">
        <f>SUM(E282-D282)</f>
        <v>-110</v>
      </c>
    </row>
    <row r="283" spans="1:6" s="175" customFormat="1" ht="18" customHeight="1">
      <c r="B283" s="661" t="s">
        <v>465</v>
      </c>
      <c r="C283" s="662"/>
      <c r="D283" s="662"/>
      <c r="E283" s="662"/>
      <c r="F283" s="663"/>
    </row>
    <row r="284" spans="1:6" s="175" customFormat="1" ht="18" customHeight="1">
      <c r="B284" s="655" t="s">
        <v>969</v>
      </c>
      <c r="C284" s="709"/>
      <c r="D284" s="209">
        <f>56*Electrical!D33</f>
        <v>1120</v>
      </c>
      <c r="E284" s="204"/>
      <c r="F284" s="205">
        <f t="shared" ref="F284:F289" si="6">SUM(E284-D284)</f>
        <v>-1120</v>
      </c>
    </row>
    <row r="285" spans="1:6" s="175" customFormat="1" ht="18" customHeight="1">
      <c r="B285" s="655" t="s">
        <v>970</v>
      </c>
      <c r="C285" s="709"/>
      <c r="D285" s="209">
        <v>50</v>
      </c>
      <c r="E285" s="204"/>
      <c r="F285" s="205">
        <f t="shared" si="6"/>
        <v>-50</v>
      </c>
    </row>
    <row r="286" spans="1:6" s="175" customFormat="1" ht="18" customHeight="1">
      <c r="B286" s="655" t="s">
        <v>971</v>
      </c>
      <c r="C286" s="709"/>
      <c r="D286" s="209">
        <f>260*2</f>
        <v>520</v>
      </c>
      <c r="E286" s="204"/>
      <c r="F286" s="205">
        <f t="shared" si="6"/>
        <v>-520</v>
      </c>
    </row>
    <row r="287" spans="1:6" s="175" customFormat="1" ht="18" customHeight="1">
      <c r="B287" s="655" t="s">
        <v>972</v>
      </c>
      <c r="C287" s="709"/>
      <c r="D287" s="209">
        <v>125</v>
      </c>
      <c r="E287" s="204"/>
      <c r="F287" s="205">
        <f t="shared" si="6"/>
        <v>-125</v>
      </c>
    </row>
    <row r="288" spans="1:6" s="175" customFormat="1" ht="18" customHeight="1">
      <c r="B288" s="655" t="s">
        <v>973</v>
      </c>
      <c r="C288" s="709"/>
      <c r="D288" s="209">
        <f>2*140</f>
        <v>280</v>
      </c>
      <c r="E288" s="204"/>
      <c r="F288" s="205">
        <f t="shared" si="6"/>
        <v>-280</v>
      </c>
    </row>
    <row r="289" spans="1:6" s="175" customFormat="1" ht="18" customHeight="1">
      <c r="B289" s="655" t="s">
        <v>1016</v>
      </c>
      <c r="C289" s="709"/>
      <c r="D289" s="209">
        <f>2*160</f>
        <v>320</v>
      </c>
      <c r="E289" s="204"/>
      <c r="F289" s="205">
        <f t="shared" si="6"/>
        <v>-320</v>
      </c>
    </row>
    <row r="290" spans="1:6" s="175" customFormat="1" ht="18" customHeight="1">
      <c r="B290" s="661" t="s">
        <v>400</v>
      </c>
      <c r="C290" s="662"/>
      <c r="D290" s="662"/>
      <c r="E290" s="662"/>
      <c r="F290" s="663"/>
    </row>
    <row r="291" spans="1:6" s="175" customFormat="1" ht="18" customHeight="1">
      <c r="B291" s="655" t="s">
        <v>1361</v>
      </c>
      <c r="C291" s="709"/>
      <c r="D291" s="209">
        <v>500</v>
      </c>
      <c r="E291" s="204"/>
      <c r="F291" s="205">
        <f t="shared" ref="F291:F296" si="7">SUM(E291-D291)</f>
        <v>-500</v>
      </c>
    </row>
    <row r="292" spans="1:6" s="175" customFormat="1" ht="18" customHeight="1">
      <c r="B292" s="655" t="s">
        <v>974</v>
      </c>
      <c r="C292" s="709"/>
      <c r="D292" s="209">
        <f>31*Electrical!D30</f>
        <v>2325</v>
      </c>
      <c r="E292" s="204"/>
      <c r="F292" s="205">
        <f t="shared" si="7"/>
        <v>-2325</v>
      </c>
    </row>
    <row r="293" spans="1:6" s="175" customFormat="1" ht="18" customHeight="1">
      <c r="B293" s="655" t="s">
        <v>975</v>
      </c>
      <c r="C293" s="709"/>
      <c r="D293" s="209">
        <f>64*Electrical!D31</f>
        <v>5760</v>
      </c>
      <c r="E293" s="204"/>
      <c r="F293" s="205">
        <f t="shared" si="7"/>
        <v>-5760</v>
      </c>
    </row>
    <row r="294" spans="1:6" s="175" customFormat="1" ht="18" customHeight="1">
      <c r="B294" s="655" t="s">
        <v>976</v>
      </c>
      <c r="C294" s="709"/>
      <c r="D294" s="209">
        <f>2*Electrical!D40</f>
        <v>230</v>
      </c>
      <c r="E294" s="204"/>
      <c r="F294" s="205">
        <f t="shared" si="7"/>
        <v>-230</v>
      </c>
    </row>
    <row r="295" spans="1:6" s="175" customFormat="1" ht="18" customHeight="1">
      <c r="B295" s="655" t="s">
        <v>977</v>
      </c>
      <c r="C295" s="709"/>
      <c r="D295" s="209">
        <f>2*Electrical!D15</f>
        <v>170</v>
      </c>
      <c r="E295" s="204"/>
      <c r="F295" s="205">
        <f t="shared" si="7"/>
        <v>-170</v>
      </c>
    </row>
    <row r="296" spans="1:6" s="175" customFormat="1" ht="18" customHeight="1">
      <c r="B296" s="655" t="s">
        <v>679</v>
      </c>
      <c r="C296" s="709"/>
      <c r="D296" s="209">
        <f>+Electrical!D17</f>
        <v>590</v>
      </c>
      <c r="E296" s="204"/>
      <c r="F296" s="205">
        <f t="shared" si="7"/>
        <v>-590</v>
      </c>
    </row>
    <row r="297" spans="1:6" s="175" customFormat="1" ht="18" customHeight="1">
      <c r="B297" s="661" t="s">
        <v>412</v>
      </c>
      <c r="C297" s="662"/>
      <c r="D297" s="662"/>
      <c r="E297" s="662"/>
      <c r="F297" s="663"/>
    </row>
    <row r="298" spans="1:6" s="175" customFormat="1" ht="18" customHeight="1">
      <c r="B298" s="655" t="s">
        <v>978</v>
      </c>
      <c r="C298" s="709"/>
      <c r="D298" s="209">
        <v>13300</v>
      </c>
      <c r="E298" s="204"/>
      <c r="F298" s="205">
        <f>SUM(E298-D298)</f>
        <v>-13300</v>
      </c>
    </row>
    <row r="299" spans="1:6" s="175" customFormat="1" ht="18" customHeight="1">
      <c r="B299" s="661" t="s">
        <v>421</v>
      </c>
      <c r="C299" s="662"/>
      <c r="D299" s="662"/>
      <c r="E299" s="662"/>
      <c r="F299" s="663"/>
    </row>
    <row r="300" spans="1:6" s="175" customFormat="1" ht="18" customHeight="1">
      <c r="B300" s="655" t="s">
        <v>979</v>
      </c>
      <c r="C300" s="709"/>
      <c r="D300" s="209">
        <f>CEILING(88*('Floor Coverings'!D14-'Floor Coverings'!D10),10)</f>
        <v>4320</v>
      </c>
      <c r="E300" s="204"/>
      <c r="F300" s="205">
        <f>SUM(E300-D300)</f>
        <v>-4320</v>
      </c>
    </row>
    <row r="301" spans="1:6" s="175" customFormat="1" ht="18" customHeight="1">
      <c r="B301" s="655" t="s">
        <v>980</v>
      </c>
      <c r="C301" s="709"/>
      <c r="D301" s="209">
        <f>CEILING(103*(88-60),10)</f>
        <v>2890</v>
      </c>
      <c r="E301" s="204"/>
      <c r="F301" s="205">
        <f>SUM(E301-D301)</f>
        <v>-2890</v>
      </c>
    </row>
    <row r="302" spans="1:6" s="175" customFormat="1" ht="18" customHeight="1">
      <c r="B302" s="661" t="s">
        <v>1012</v>
      </c>
      <c r="C302" s="662"/>
      <c r="D302" s="662"/>
      <c r="E302" s="662"/>
      <c r="F302" s="663"/>
    </row>
    <row r="303" spans="1:6" ht="18" customHeight="1">
      <c r="A303" s="40"/>
      <c r="B303" s="687" t="s">
        <v>1013</v>
      </c>
      <c r="C303" s="711"/>
      <c r="D303" s="209">
        <v>600</v>
      </c>
      <c r="E303" s="204"/>
      <c r="F303" s="205">
        <f t="shared" ref="F303:F308" si="8">SUM(E303-D303)</f>
        <v>-600</v>
      </c>
    </row>
    <row r="304" spans="1:6" ht="18" customHeight="1">
      <c r="A304" s="40"/>
      <c r="B304" s="687" t="s">
        <v>1014</v>
      </c>
      <c r="C304" s="711"/>
      <c r="D304" s="209">
        <f>15*'Floor Coverings'!D10</f>
        <v>1545</v>
      </c>
      <c r="E304" s="211"/>
      <c r="F304" s="205">
        <f t="shared" si="8"/>
        <v>-1545</v>
      </c>
    </row>
    <row r="305" spans="1:6" ht="18" customHeight="1">
      <c r="A305" s="40"/>
      <c r="B305" s="687" t="s">
        <v>1010</v>
      </c>
      <c r="C305" s="711"/>
      <c r="D305" s="209">
        <v>1675</v>
      </c>
      <c r="E305" s="211"/>
      <c r="F305" s="205">
        <f t="shared" si="8"/>
        <v>-1675</v>
      </c>
    </row>
    <row r="306" spans="1:6" ht="18" customHeight="1">
      <c r="A306" s="40"/>
      <c r="B306" s="687" t="s">
        <v>1015</v>
      </c>
      <c r="C306" s="711"/>
      <c r="D306" s="209">
        <v>315</v>
      </c>
      <c r="E306" s="204"/>
      <c r="F306" s="205">
        <f t="shared" si="8"/>
        <v>-315</v>
      </c>
    </row>
    <row r="307" spans="1:6" ht="18" customHeight="1">
      <c r="A307" s="40"/>
      <c r="B307" s="687" t="s">
        <v>1011</v>
      </c>
      <c r="C307" s="711"/>
      <c r="D307" s="209">
        <v>1850</v>
      </c>
      <c r="E307" s="204"/>
      <c r="F307" s="205">
        <f t="shared" si="8"/>
        <v>-1850</v>
      </c>
    </row>
    <row r="308" spans="1:6" ht="18" customHeight="1">
      <c r="A308" s="40"/>
      <c r="B308" s="655" t="s">
        <v>1007</v>
      </c>
      <c r="C308" s="709"/>
      <c r="D308" s="209">
        <v>280</v>
      </c>
      <c r="E308" s="204"/>
      <c r="F308" s="205">
        <f t="shared" si="8"/>
        <v>-280</v>
      </c>
    </row>
    <row r="309" spans="1:6" ht="18" customHeight="1">
      <c r="A309" s="40"/>
      <c r="B309" s="655" t="s">
        <v>1009</v>
      </c>
      <c r="C309" s="709"/>
      <c r="D309" s="209">
        <v>100</v>
      </c>
      <c r="E309" s="204"/>
      <c r="F309" s="205">
        <f>SUM(E309-D309)</f>
        <v>-100</v>
      </c>
    </row>
    <row r="310" spans="1:6" s="175" customFormat="1" ht="18" customHeight="1">
      <c r="B310" s="661" t="s">
        <v>425</v>
      </c>
      <c r="C310" s="662"/>
      <c r="D310" s="662"/>
      <c r="E310" s="662"/>
      <c r="F310" s="663"/>
    </row>
    <row r="311" spans="1:6" s="175" customFormat="1" ht="18" customHeight="1">
      <c r="B311" s="655" t="s">
        <v>933</v>
      </c>
      <c r="C311" s="709"/>
      <c r="D311" s="209">
        <f>+'Yard Items'!D33</f>
        <v>400</v>
      </c>
      <c r="E311" s="204"/>
      <c r="F311" s="205">
        <f>SUM(E311-D311)</f>
        <v>-400</v>
      </c>
    </row>
    <row r="312" spans="1:6" s="175" customFormat="1" ht="18" customHeight="1">
      <c r="D312" s="209">
        <v>0</v>
      </c>
      <c r="E312" s="204"/>
      <c r="F312" s="205">
        <f>SUM(E312-D312)</f>
        <v>0</v>
      </c>
    </row>
    <row r="313" spans="1:6" s="175" customFormat="1" ht="18" customHeight="1">
      <c r="B313" s="655"/>
      <c r="C313" s="709"/>
      <c r="D313" s="209">
        <v>0</v>
      </c>
      <c r="E313" s="204"/>
      <c r="F313" s="205">
        <f>SUM(E313-D313)</f>
        <v>0</v>
      </c>
    </row>
    <row r="314" spans="1:6" s="175" customFormat="1" ht="18" customHeight="1">
      <c r="B314" s="661" t="s">
        <v>930</v>
      </c>
      <c r="C314" s="662"/>
      <c r="D314" s="662"/>
      <c r="E314" s="662"/>
      <c r="F314" s="663"/>
    </row>
    <row r="315" spans="1:6" s="175" customFormat="1" ht="18" customHeight="1">
      <c r="B315" s="655" t="s">
        <v>981</v>
      </c>
      <c r="C315" s="709"/>
      <c r="D315" s="209">
        <v>5135</v>
      </c>
      <c r="E315" s="204"/>
      <c r="F315" s="205">
        <f>SUM(E315-D315)</f>
        <v>-5135</v>
      </c>
    </row>
    <row r="316" spans="1:6" s="175" customFormat="1" ht="18" customHeight="1">
      <c r="B316" s="661" t="s">
        <v>427</v>
      </c>
      <c r="C316" s="662"/>
      <c r="D316" s="662"/>
      <c r="E316" s="662"/>
      <c r="F316" s="663"/>
    </row>
    <row r="317" spans="1:6" s="175" customFormat="1" ht="18" customHeight="1">
      <c r="B317" s="655" t="s">
        <v>982</v>
      </c>
      <c r="C317" s="709"/>
      <c r="D317" s="209">
        <f>-I183</f>
        <v>0</v>
      </c>
      <c r="E317" s="204"/>
      <c r="F317" s="205">
        <f t="shared" ref="F317:F325" si="9">SUM(E317-D317)</f>
        <v>0</v>
      </c>
    </row>
    <row r="318" spans="1:6" s="175" customFormat="1" ht="18" customHeight="1">
      <c r="B318" s="655" t="s">
        <v>983</v>
      </c>
      <c r="C318" s="709"/>
      <c r="D318" s="209">
        <f>+'Yard Items'!D13</f>
        <v>1950</v>
      </c>
      <c r="E318" s="204"/>
      <c r="F318" s="205">
        <f t="shared" si="9"/>
        <v>-1950</v>
      </c>
    </row>
    <row r="319" spans="1:6" s="175" customFormat="1" ht="18" customHeight="1">
      <c r="B319" s="655" t="s">
        <v>998</v>
      </c>
      <c r="C319" s="709"/>
      <c r="D319" s="209">
        <f>+CEILING(7.3*'Yard Items'!D10,5)</f>
        <v>1390</v>
      </c>
      <c r="E319" s="204"/>
      <c r="F319" s="205">
        <f t="shared" si="9"/>
        <v>-1390</v>
      </c>
    </row>
    <row r="320" spans="1:6" s="175" customFormat="1" ht="18" customHeight="1">
      <c r="B320" s="655" t="s">
        <v>999</v>
      </c>
      <c r="C320" s="709"/>
      <c r="D320" s="209">
        <f>+CEILING(47.5*'Yard Items'!D10,5)</f>
        <v>9025</v>
      </c>
      <c r="E320" s="204"/>
      <c r="F320" s="205">
        <f t="shared" si="9"/>
        <v>-9025</v>
      </c>
    </row>
    <row r="321" spans="1:7" s="175" customFormat="1" ht="18" customHeight="1">
      <c r="B321" s="655" t="s">
        <v>1000</v>
      </c>
      <c r="C321" s="709"/>
      <c r="D321" s="209">
        <f>+CEILING(37.8*'Yard Items'!D10,5)</f>
        <v>7185</v>
      </c>
      <c r="E321" s="204"/>
      <c r="F321" s="205">
        <f t="shared" si="9"/>
        <v>-7185</v>
      </c>
    </row>
    <row r="322" spans="1:7" s="175" customFormat="1" ht="18" customHeight="1">
      <c r="B322" s="655" t="s">
        <v>1001</v>
      </c>
      <c r="C322" s="709"/>
      <c r="D322" s="209">
        <f>CEILING(7.7*'Yard Items'!D10,5)</f>
        <v>1465</v>
      </c>
      <c r="E322" s="204"/>
      <c r="F322" s="205">
        <f t="shared" si="9"/>
        <v>-1465</v>
      </c>
    </row>
    <row r="323" spans="1:7" s="175" customFormat="1" ht="18" customHeight="1">
      <c r="B323" s="655" t="s">
        <v>1002</v>
      </c>
      <c r="C323" s="709"/>
      <c r="D323" s="209">
        <f>CEILING(11.7*'Yard Items'!D10,5)</f>
        <v>2225</v>
      </c>
      <c r="E323" s="204"/>
      <c r="F323" s="205">
        <f t="shared" si="9"/>
        <v>-2225</v>
      </c>
    </row>
    <row r="324" spans="1:7" s="175" customFormat="1" ht="18" customHeight="1">
      <c r="B324" s="655" t="s">
        <v>1003</v>
      </c>
      <c r="C324" s="709"/>
      <c r="D324" s="209">
        <f>CEILING(27.6*'Yard Items'!D12,5)</f>
        <v>3590</v>
      </c>
      <c r="E324" s="204"/>
      <c r="F324" s="205">
        <f t="shared" si="9"/>
        <v>-3590</v>
      </c>
    </row>
    <row r="325" spans="1:7" s="175" customFormat="1" ht="18" customHeight="1">
      <c r="B325" s="655" t="s">
        <v>984</v>
      </c>
      <c r="C325" s="709"/>
      <c r="D325" s="209">
        <f>CEILING(28.8*'Yard Items'!D10,5)</f>
        <v>5475</v>
      </c>
      <c r="E325" s="204"/>
      <c r="F325" s="205">
        <f t="shared" si="9"/>
        <v>-5475</v>
      </c>
    </row>
    <row r="326" spans="1:7" s="175" customFormat="1" ht="18" customHeight="1">
      <c r="B326" s="734" t="s">
        <v>472</v>
      </c>
      <c r="C326" s="735"/>
      <c r="D326" s="212" t="e">
        <f>SUM(D186:D325)</f>
        <v>#REF!</v>
      </c>
      <c r="E326" s="212">
        <f>SUM(E186:E325)</f>
        <v>0</v>
      </c>
      <c r="F326" s="212" t="e">
        <f>SUM(F186:F325)</f>
        <v>#REF!</v>
      </c>
      <c r="G326" s="213"/>
    </row>
    <row r="327" spans="1:7" s="175" customFormat="1" ht="18" customHeight="1">
      <c r="B327" s="214"/>
      <c r="C327" s="215" t="s">
        <v>473</v>
      </c>
      <c r="D327" s="736" t="e">
        <f>SUM(D326)</f>
        <v>#REF!</v>
      </c>
      <c r="E327" s="737"/>
      <c r="F327" s="738"/>
    </row>
    <row r="328" spans="1:7" s="175" customFormat="1" ht="18" customHeight="1">
      <c r="B328" s="214"/>
      <c r="C328" s="215"/>
      <c r="D328" s="216"/>
      <c r="E328" s="216"/>
      <c r="F328" s="217"/>
    </row>
    <row r="329" spans="1:7" s="175" customFormat="1" ht="18" customHeight="1" thickBot="1">
      <c r="B329" s="739" t="s">
        <v>474</v>
      </c>
      <c r="C329" s="740"/>
      <c r="D329" s="218"/>
      <c r="E329" s="218"/>
      <c r="F329" s="219"/>
    </row>
    <row r="330" spans="1:7" s="175" customFormat="1" ht="18" customHeight="1" thickBot="1">
      <c r="A330" s="155"/>
      <c r="B330" s="220"/>
      <c r="C330" s="221"/>
      <c r="D330" s="222"/>
      <c r="E330" s="222"/>
      <c r="F330" s="222"/>
    </row>
    <row r="331" spans="1:7" s="175" customFormat="1" ht="18" customHeight="1">
      <c r="A331" s="155"/>
      <c r="B331" s="223"/>
      <c r="C331" s="224"/>
      <c r="D331" s="225"/>
      <c r="E331" s="225"/>
      <c r="F331" s="226"/>
    </row>
    <row r="332" spans="1:7" ht="18" customHeight="1">
      <c r="B332" s="227"/>
      <c r="C332" s="221"/>
      <c r="D332" s="222"/>
      <c r="E332" s="222"/>
      <c r="F332" s="228"/>
      <c r="G332" s="220"/>
    </row>
    <row r="333" spans="1:7" ht="18" customHeight="1">
      <c r="A333" s="216"/>
      <c r="B333" s="227"/>
      <c r="C333" s="221"/>
      <c r="D333" s="222"/>
      <c r="E333" s="222"/>
      <c r="F333" s="228"/>
    </row>
    <row r="334" spans="1:7" ht="18" customHeight="1">
      <c r="A334" s="216"/>
      <c r="B334" s="227"/>
      <c r="C334" s="221"/>
      <c r="D334" s="222"/>
      <c r="E334" s="222"/>
      <c r="F334" s="228"/>
    </row>
    <row r="335" spans="1:7" ht="18" customHeight="1">
      <c r="A335" s="216"/>
      <c r="B335" s="229"/>
      <c r="F335" s="147"/>
    </row>
    <row r="336" spans="1:7" ht="18" customHeight="1">
      <c r="A336" s="216"/>
      <c r="B336" s="229"/>
      <c r="F336" s="147"/>
    </row>
    <row r="337" spans="1:6" ht="18" customHeight="1">
      <c r="A337" s="216"/>
      <c r="B337" s="229"/>
      <c r="F337" s="147"/>
    </row>
    <row r="338" spans="1:6" ht="18" customHeight="1">
      <c r="A338" s="216"/>
      <c r="B338" s="229"/>
      <c r="F338" s="147"/>
    </row>
    <row r="339" spans="1:6" ht="18" customHeight="1">
      <c r="A339" s="216"/>
      <c r="B339" s="213"/>
      <c r="C339" s="230" t="s">
        <v>475</v>
      </c>
      <c r="D339" s="155"/>
      <c r="E339" s="155"/>
      <c r="F339" s="231"/>
    </row>
    <row r="340" spans="1:6" ht="18" customHeight="1">
      <c r="A340" s="216"/>
      <c r="B340" s="232" t="s">
        <v>476</v>
      </c>
      <c r="C340" s="155" t="s">
        <v>477</v>
      </c>
      <c r="D340" s="155"/>
      <c r="E340" s="155" t="s">
        <v>478</v>
      </c>
      <c r="F340" s="231"/>
    </row>
    <row r="341" spans="1:6" ht="18" customHeight="1">
      <c r="B341" s="233"/>
      <c r="C341" s="234"/>
      <c r="D341" s="235"/>
      <c r="E341" s="236"/>
      <c r="F341" s="231"/>
    </row>
    <row r="342" spans="1:6" ht="18" customHeight="1">
      <c r="B342" s="237">
        <v>0.05</v>
      </c>
      <c r="C342" s="238" t="s">
        <v>479</v>
      </c>
      <c r="D342" s="239"/>
      <c r="E342" s="240" t="e">
        <f>#REF!*0.05</f>
        <v>#REF!</v>
      </c>
      <c r="F342" s="231"/>
    </row>
    <row r="343" spans="1:6" ht="18" customHeight="1">
      <c r="B343" s="237">
        <v>0.15</v>
      </c>
      <c r="C343" s="238" t="s">
        <v>480</v>
      </c>
      <c r="D343" s="241"/>
      <c r="E343" s="242" t="e">
        <f>SUM(#REF!*0.15)</f>
        <v>#REF!</v>
      </c>
      <c r="F343" s="231"/>
    </row>
    <row r="344" spans="1:6" ht="18" customHeight="1">
      <c r="B344" s="237">
        <v>0.15</v>
      </c>
      <c r="C344" s="238" t="s">
        <v>481</v>
      </c>
      <c r="D344" s="241"/>
      <c r="E344" s="242" t="e">
        <f>SUM(#REF!*0.15)</f>
        <v>#REF!</v>
      </c>
      <c r="F344" s="231"/>
    </row>
    <row r="345" spans="1:6" s="175" customFormat="1" ht="18" customHeight="1">
      <c r="A345" s="155"/>
      <c r="B345" s="243">
        <v>0.17499999999999999</v>
      </c>
      <c r="C345" s="238" t="s">
        <v>482</v>
      </c>
      <c r="D345" s="241"/>
      <c r="E345" s="242" t="e">
        <f>SUM(#REF!*0.175)</f>
        <v>#REF!</v>
      </c>
      <c r="F345" s="231"/>
    </row>
    <row r="346" spans="1:6" s="175" customFormat="1" ht="18" customHeight="1">
      <c r="A346" s="155"/>
      <c r="B346" s="243">
        <v>0.17499999999999999</v>
      </c>
      <c r="C346" s="238" t="s">
        <v>483</v>
      </c>
      <c r="D346" s="241"/>
      <c r="E346" s="242" t="e">
        <f>SUM(#REF!*0.175)</f>
        <v>#REF!</v>
      </c>
      <c r="F346" s="231"/>
    </row>
    <row r="347" spans="1:6" s="175" customFormat="1" ht="18" customHeight="1">
      <c r="A347" s="155"/>
      <c r="B347" s="237">
        <v>0.2</v>
      </c>
      <c r="C347" s="238" t="s">
        <v>484</v>
      </c>
      <c r="D347" s="241"/>
      <c r="E347" s="242" t="e">
        <f>SUM(#REF!*0.2)</f>
        <v>#REF!</v>
      </c>
      <c r="F347" s="231"/>
    </row>
    <row r="348" spans="1:6" s="175" customFormat="1" ht="18" customHeight="1">
      <c r="A348" s="155"/>
      <c r="B348" s="237">
        <v>0.1</v>
      </c>
      <c r="C348" s="238" t="s">
        <v>485</v>
      </c>
      <c r="D348" s="244"/>
      <c r="E348" s="242" t="e">
        <f>#REF!*0.1</f>
        <v>#REF!</v>
      </c>
      <c r="F348" s="231"/>
    </row>
    <row r="349" spans="1:6" s="175" customFormat="1" ht="18" customHeight="1">
      <c r="A349" s="155"/>
      <c r="B349" s="232"/>
      <c r="C349" s="178"/>
      <c r="D349" s="155"/>
      <c r="E349" s="245"/>
      <c r="F349" s="231"/>
    </row>
    <row r="350" spans="1:6" s="175" customFormat="1" ht="18" customHeight="1">
      <c r="A350" s="155"/>
      <c r="B350" s="213"/>
      <c r="C350" s="230" t="s">
        <v>486</v>
      </c>
      <c r="D350" s="244"/>
      <c r="F350" s="231"/>
    </row>
    <row r="351" spans="1:6" s="175" customFormat="1" ht="18" customHeight="1">
      <c r="A351" s="155"/>
      <c r="B351" s="213"/>
      <c r="C351" s="178" t="s">
        <v>487</v>
      </c>
      <c r="D351" s="155"/>
      <c r="E351" s="178" t="e">
        <f>SUM(#REF!)/1.1</f>
        <v>#REF!</v>
      </c>
      <c r="F351" s="231"/>
    </row>
    <row r="352" spans="1:6" s="175" customFormat="1" ht="18" customHeight="1">
      <c r="A352" s="155"/>
      <c r="B352" s="213"/>
      <c r="C352" s="178" t="s">
        <v>488</v>
      </c>
      <c r="D352" s="155"/>
      <c r="E352" s="178" t="e">
        <f>SUM(#REF!-E351)</f>
        <v>#REF!</v>
      </c>
      <c r="F352" s="231"/>
    </row>
    <row r="353" spans="1:6" s="175" customFormat="1" ht="18" customHeight="1">
      <c r="A353" s="155"/>
      <c r="B353" s="213"/>
      <c r="C353" s="178" t="s">
        <v>489</v>
      </c>
      <c r="D353" s="155"/>
      <c r="E353" s="178" t="e">
        <f>SUM(E351:E352)</f>
        <v>#REF!</v>
      </c>
      <c r="F353" s="231"/>
    </row>
    <row r="354" spans="1:6" s="175" customFormat="1" ht="18" customHeight="1">
      <c r="A354" s="155"/>
      <c r="B354" s="213"/>
      <c r="D354" s="244"/>
      <c r="F354" s="231"/>
    </row>
    <row r="355" spans="1:6" s="175" customFormat="1" ht="18" customHeight="1">
      <c r="A355" s="155"/>
      <c r="B355" s="213"/>
      <c r="D355" s="244"/>
      <c r="F355" s="231"/>
    </row>
    <row r="356" spans="1:6" s="175" customFormat="1" ht="18" customHeight="1">
      <c r="A356" s="155"/>
      <c r="B356" s="213"/>
      <c r="C356" s="230"/>
      <c r="D356" s="244"/>
      <c r="F356" s="231"/>
    </row>
    <row r="357" spans="1:6" s="175" customFormat="1" ht="18" customHeight="1">
      <c r="A357" s="155"/>
      <c r="B357" s="213"/>
      <c r="C357" s="178"/>
      <c r="D357" s="155"/>
      <c r="E357" s="178"/>
      <c r="F357" s="231"/>
    </row>
    <row r="358" spans="1:6" s="175" customFormat="1" ht="18" customHeight="1">
      <c r="A358" s="155"/>
      <c r="B358" s="213"/>
      <c r="C358" s="178"/>
      <c r="D358" s="155"/>
      <c r="E358" s="178"/>
      <c r="F358" s="231"/>
    </row>
    <row r="359" spans="1:6" s="175" customFormat="1" ht="18" customHeight="1">
      <c r="A359" s="155"/>
      <c r="B359" s="213"/>
      <c r="C359" s="178"/>
      <c r="D359" s="155"/>
      <c r="E359" s="178"/>
      <c r="F359" s="231"/>
    </row>
    <row r="360" spans="1:6" s="175" customFormat="1" ht="18" customHeight="1">
      <c r="A360" s="155"/>
      <c r="B360" s="213"/>
      <c r="C360" s="178"/>
      <c r="D360" s="155"/>
      <c r="E360" s="178"/>
      <c r="F360" s="231"/>
    </row>
    <row r="361" spans="1:6" s="175" customFormat="1" ht="18" customHeight="1">
      <c r="A361" s="155"/>
      <c r="B361" s="213"/>
      <c r="C361" s="178"/>
      <c r="D361" s="155"/>
      <c r="E361" s="178"/>
      <c r="F361" s="231"/>
    </row>
    <row r="362" spans="1:6" s="175" customFormat="1" ht="18" customHeight="1">
      <c r="A362" s="155"/>
      <c r="B362" s="229"/>
      <c r="C362" s="40"/>
      <c r="D362" s="135"/>
      <c r="E362" s="40"/>
      <c r="F362" s="147"/>
    </row>
    <row r="363" spans="1:6" s="175" customFormat="1" ht="18" customHeight="1">
      <c r="A363" s="155"/>
      <c r="B363" s="229"/>
      <c r="C363" s="40"/>
      <c r="D363" s="135"/>
      <c r="E363" s="40"/>
      <c r="F363" s="147"/>
    </row>
    <row r="364" spans="1:6" s="175" customFormat="1" ht="18" customHeight="1">
      <c r="A364" s="155"/>
      <c r="B364" s="229"/>
      <c r="C364" s="40"/>
      <c r="D364" s="135"/>
      <c r="E364" s="40"/>
      <c r="F364" s="147"/>
    </row>
    <row r="365" spans="1:6" s="175" customFormat="1" ht="18" customHeight="1">
      <c r="A365" s="155"/>
      <c r="B365" s="229"/>
      <c r="C365" s="40"/>
      <c r="D365" s="135"/>
      <c r="E365" s="40"/>
      <c r="F365" s="147"/>
    </row>
    <row r="366" spans="1:6" s="175" customFormat="1" ht="18" customHeight="1">
      <c r="A366" s="155"/>
      <c r="B366" s="229"/>
      <c r="C366" s="40"/>
      <c r="D366" s="135"/>
      <c r="E366" s="40"/>
      <c r="F366" s="147"/>
    </row>
    <row r="367" spans="1:6" s="175" customFormat="1" ht="18" customHeight="1">
      <c r="A367" s="155"/>
      <c r="B367" s="229"/>
      <c r="C367" s="40"/>
      <c r="D367" s="135"/>
      <c r="E367" s="40"/>
      <c r="F367" s="147"/>
    </row>
    <row r="368" spans="1:6" ht="18" customHeight="1">
      <c r="B368" s="229"/>
      <c r="F368" s="147"/>
    </row>
    <row r="369" spans="2:6" ht="18" customHeight="1">
      <c r="B369" s="229"/>
      <c r="F369" s="147"/>
    </row>
    <row r="370" spans="2:6" ht="18" customHeight="1">
      <c r="B370" s="229"/>
      <c r="F370" s="147"/>
    </row>
    <row r="371" spans="2:6" ht="18" customHeight="1">
      <c r="B371" s="229"/>
      <c r="F371" s="147"/>
    </row>
    <row r="372" spans="2:6" ht="18" customHeight="1">
      <c r="B372" s="229"/>
      <c r="F372" s="147"/>
    </row>
    <row r="373" spans="2:6" ht="18" customHeight="1">
      <c r="B373" s="229"/>
      <c r="F373" s="147"/>
    </row>
    <row r="374" spans="2:6" ht="18" customHeight="1" thickBot="1">
      <c r="B374" s="246"/>
      <c r="C374" s="247"/>
      <c r="D374" s="248"/>
      <c r="E374" s="247"/>
      <c r="F374" s="249"/>
    </row>
  </sheetData>
  <mergeCells count="374">
    <mergeCell ref="B265:C265"/>
    <mergeCell ref="B326:C326"/>
    <mergeCell ref="D327:F327"/>
    <mergeCell ref="B329:C329"/>
    <mergeCell ref="B320:C320"/>
    <mergeCell ref="B321:C321"/>
    <mergeCell ref="B322:C322"/>
    <mergeCell ref="B323:C323"/>
    <mergeCell ref="B324:C324"/>
    <mergeCell ref="B325:C325"/>
    <mergeCell ref="B314:F314"/>
    <mergeCell ref="B315:C315"/>
    <mergeCell ref="B316:F316"/>
    <mergeCell ref="B317:C317"/>
    <mergeCell ref="B318:C318"/>
    <mergeCell ref="B319:C319"/>
    <mergeCell ref="B299:F299"/>
    <mergeCell ref="B300:C300"/>
    <mergeCell ref="B301:C301"/>
    <mergeCell ref="B310:F310"/>
    <mergeCell ref="B311:C311"/>
    <mergeCell ref="B313:C313"/>
    <mergeCell ref="B306:C306"/>
    <mergeCell ref="B307:C307"/>
    <mergeCell ref="B309:C309"/>
    <mergeCell ref="B308:C308"/>
    <mergeCell ref="B305:C305"/>
    <mergeCell ref="B293:C293"/>
    <mergeCell ref="B294:C294"/>
    <mergeCell ref="B295:C295"/>
    <mergeCell ref="B296:C296"/>
    <mergeCell ref="B297:F297"/>
    <mergeCell ref="B298:C298"/>
    <mergeCell ref="B285:C285"/>
    <mergeCell ref="B286:C286"/>
    <mergeCell ref="B287:C287"/>
    <mergeCell ref="B288:C288"/>
    <mergeCell ref="B290:F290"/>
    <mergeCell ref="B292:C292"/>
    <mergeCell ref="B291:C291"/>
    <mergeCell ref="B266:C266"/>
    <mergeCell ref="B277:C277"/>
    <mergeCell ref="B280:F280"/>
    <mergeCell ref="B281:C281"/>
    <mergeCell ref="B282:C282"/>
    <mergeCell ref="B283:F283"/>
    <mergeCell ref="B284:C284"/>
    <mergeCell ref="B273:C273"/>
    <mergeCell ref="B274:F274"/>
    <mergeCell ref="B275:C275"/>
    <mergeCell ref="B276:C276"/>
    <mergeCell ref="B279:C279"/>
    <mergeCell ref="B278:C278"/>
    <mergeCell ref="B256:F256"/>
    <mergeCell ref="B257:C257"/>
    <mergeCell ref="B258:C258"/>
    <mergeCell ref="B259:C259"/>
    <mergeCell ref="B304:C304"/>
    <mergeCell ref="B260:C260"/>
    <mergeCell ref="B251:C251"/>
    <mergeCell ref="B252:C252"/>
    <mergeCell ref="B253:C253"/>
    <mergeCell ref="B254:C254"/>
    <mergeCell ref="B255:C255"/>
    <mergeCell ref="B303:C303"/>
    <mergeCell ref="B267:F267"/>
    <mergeCell ref="B268:C268"/>
    <mergeCell ref="B269:C269"/>
    <mergeCell ref="B270:C270"/>
    <mergeCell ref="B271:C271"/>
    <mergeCell ref="B272:C272"/>
    <mergeCell ref="B261:C261"/>
    <mergeCell ref="B262:C262"/>
    <mergeCell ref="B263:C263"/>
    <mergeCell ref="B302:F302"/>
    <mergeCell ref="B289:C289"/>
    <mergeCell ref="B264:F264"/>
    <mergeCell ref="B245:C245"/>
    <mergeCell ref="B246:C246"/>
    <mergeCell ref="B247:C247"/>
    <mergeCell ref="B248:C248"/>
    <mergeCell ref="B249:C249"/>
    <mergeCell ref="B250:C250"/>
    <mergeCell ref="B239:C239"/>
    <mergeCell ref="B240:C240"/>
    <mergeCell ref="B241:C241"/>
    <mergeCell ref="B242:C242"/>
    <mergeCell ref="B243:F243"/>
    <mergeCell ref="B244:C244"/>
    <mergeCell ref="B233:C233"/>
    <mergeCell ref="B234:F234"/>
    <mergeCell ref="B235:C235"/>
    <mergeCell ref="B236:C236"/>
    <mergeCell ref="B237:F237"/>
    <mergeCell ref="B238:C238"/>
    <mergeCell ref="B227:C227"/>
    <mergeCell ref="B228:C228"/>
    <mergeCell ref="B229:F229"/>
    <mergeCell ref="B230:C230"/>
    <mergeCell ref="B231:C231"/>
    <mergeCell ref="B232:C232"/>
    <mergeCell ref="B222:C222"/>
    <mergeCell ref="B223:C223"/>
    <mergeCell ref="B214:C214"/>
    <mergeCell ref="B224:C224"/>
    <mergeCell ref="B225:F225"/>
    <mergeCell ref="B226:C226"/>
    <mergeCell ref="B212:C212"/>
    <mergeCell ref="B217:F217"/>
    <mergeCell ref="B218:C218"/>
    <mergeCell ref="B219:C219"/>
    <mergeCell ref="B220:C220"/>
    <mergeCell ref="B221:C221"/>
    <mergeCell ref="B213:F213"/>
    <mergeCell ref="B215:C215"/>
    <mergeCell ref="B216:C216"/>
    <mergeCell ref="B206:C206"/>
    <mergeCell ref="B207:C207"/>
    <mergeCell ref="B208:F208"/>
    <mergeCell ref="B209:C209"/>
    <mergeCell ref="B210:C210"/>
    <mergeCell ref="B211:F211"/>
    <mergeCell ref="B198:C198"/>
    <mergeCell ref="B201:F201"/>
    <mergeCell ref="B202:C202"/>
    <mergeCell ref="B203:F203"/>
    <mergeCell ref="B204:F204"/>
    <mergeCell ref="B205:C205"/>
    <mergeCell ref="B199:F199"/>
    <mergeCell ref="B200:C200"/>
    <mergeCell ref="B192:C192"/>
    <mergeCell ref="B193:C193"/>
    <mergeCell ref="B194:C194"/>
    <mergeCell ref="B195:F195"/>
    <mergeCell ref="B196:C196"/>
    <mergeCell ref="B197:F197"/>
    <mergeCell ref="B186:C186"/>
    <mergeCell ref="B187:F187"/>
    <mergeCell ref="B188:C188"/>
    <mergeCell ref="B189:C189"/>
    <mergeCell ref="B190:C190"/>
    <mergeCell ref="B191:C191"/>
    <mergeCell ref="B178:C178"/>
    <mergeCell ref="D178:F178"/>
    <mergeCell ref="B179:C179"/>
    <mergeCell ref="B182:C182"/>
    <mergeCell ref="D183:F183"/>
    <mergeCell ref="C184:F184"/>
    <mergeCell ref="D174:F174"/>
    <mergeCell ref="B175:C175"/>
    <mergeCell ref="D175:F175"/>
    <mergeCell ref="D176:F176"/>
    <mergeCell ref="B177:C177"/>
    <mergeCell ref="D177:F177"/>
    <mergeCell ref="B170:C170"/>
    <mergeCell ref="D170:F170"/>
    <mergeCell ref="B171:C171"/>
    <mergeCell ref="D171:F171"/>
    <mergeCell ref="D172:F172"/>
    <mergeCell ref="B173:C173"/>
    <mergeCell ref="D173:F173"/>
    <mergeCell ref="B166:C166"/>
    <mergeCell ref="D166:F166"/>
    <mergeCell ref="B167:C167"/>
    <mergeCell ref="D167:F167"/>
    <mergeCell ref="D168:F168"/>
    <mergeCell ref="B169:C169"/>
    <mergeCell ref="D169:F169"/>
    <mergeCell ref="B163:C163"/>
    <mergeCell ref="D163:F163"/>
    <mergeCell ref="B164:C164"/>
    <mergeCell ref="D164:F164"/>
    <mergeCell ref="B165:C165"/>
    <mergeCell ref="D165:F165"/>
    <mergeCell ref="D159:F159"/>
    <mergeCell ref="B160:C160"/>
    <mergeCell ref="D160:F160"/>
    <mergeCell ref="B161:C161"/>
    <mergeCell ref="D161:F161"/>
    <mergeCell ref="D162:F162"/>
    <mergeCell ref="B155:C155"/>
    <mergeCell ref="D155:F155"/>
    <mergeCell ref="B156:C156"/>
    <mergeCell ref="D156:F156"/>
    <mergeCell ref="D157:F157"/>
    <mergeCell ref="B158:C158"/>
    <mergeCell ref="D158:F158"/>
    <mergeCell ref="B152:C152"/>
    <mergeCell ref="D152:F152"/>
    <mergeCell ref="B153:C153"/>
    <mergeCell ref="D153:F153"/>
    <mergeCell ref="B154:C154"/>
    <mergeCell ref="D154:F154"/>
    <mergeCell ref="B149:C149"/>
    <mergeCell ref="D149:F149"/>
    <mergeCell ref="B150:C150"/>
    <mergeCell ref="D150:F150"/>
    <mergeCell ref="B151:C151"/>
    <mergeCell ref="D151:F151"/>
    <mergeCell ref="B145:C145"/>
    <mergeCell ref="D145:F145"/>
    <mergeCell ref="B146:C146"/>
    <mergeCell ref="D146:F146"/>
    <mergeCell ref="D147:F147"/>
    <mergeCell ref="B148:C148"/>
    <mergeCell ref="D148:F148"/>
    <mergeCell ref="B141:C141"/>
    <mergeCell ref="D141:F141"/>
    <mergeCell ref="D142:F142"/>
    <mergeCell ref="B143:C143"/>
    <mergeCell ref="D143:F143"/>
    <mergeCell ref="B144:C144"/>
    <mergeCell ref="D144:F144"/>
    <mergeCell ref="B138:C138"/>
    <mergeCell ref="D138:F138"/>
    <mergeCell ref="B139:C139"/>
    <mergeCell ref="D139:F139"/>
    <mergeCell ref="B140:C140"/>
    <mergeCell ref="D140:F140"/>
    <mergeCell ref="B134:C134"/>
    <mergeCell ref="D134:F134"/>
    <mergeCell ref="D135:F135"/>
    <mergeCell ref="B136:C136"/>
    <mergeCell ref="D136:F136"/>
    <mergeCell ref="D137:F137"/>
    <mergeCell ref="B131:C131"/>
    <mergeCell ref="D131:F131"/>
    <mergeCell ref="B132:C132"/>
    <mergeCell ref="D132:F132"/>
    <mergeCell ref="B133:C133"/>
    <mergeCell ref="D133:F133"/>
    <mergeCell ref="B128:C128"/>
    <mergeCell ref="D128:F128"/>
    <mergeCell ref="B129:C129"/>
    <mergeCell ref="D129:F129"/>
    <mergeCell ref="B130:C130"/>
    <mergeCell ref="D130:F130"/>
    <mergeCell ref="D124:F124"/>
    <mergeCell ref="B125:C125"/>
    <mergeCell ref="D125:F125"/>
    <mergeCell ref="B126:C126"/>
    <mergeCell ref="D126:F126"/>
    <mergeCell ref="B127:C127"/>
    <mergeCell ref="D127:F127"/>
    <mergeCell ref="B121:C121"/>
    <mergeCell ref="D121:F121"/>
    <mergeCell ref="B122:C122"/>
    <mergeCell ref="D122:F122"/>
    <mergeCell ref="B123:C123"/>
    <mergeCell ref="D123:F123"/>
    <mergeCell ref="B118:C118"/>
    <mergeCell ref="D118:F118"/>
    <mergeCell ref="B119:C119"/>
    <mergeCell ref="D119:F119"/>
    <mergeCell ref="B120:C120"/>
    <mergeCell ref="D120:F120"/>
    <mergeCell ref="B115:C115"/>
    <mergeCell ref="D115:F115"/>
    <mergeCell ref="B116:C116"/>
    <mergeCell ref="D116:F116"/>
    <mergeCell ref="B117:C117"/>
    <mergeCell ref="D117:F117"/>
    <mergeCell ref="B111:C111"/>
    <mergeCell ref="D111:F111"/>
    <mergeCell ref="B112:C112"/>
    <mergeCell ref="D112:F112"/>
    <mergeCell ref="D113:F113"/>
    <mergeCell ref="B114:C114"/>
    <mergeCell ref="D114:F114"/>
    <mergeCell ref="B107:C107"/>
    <mergeCell ref="D107:F107"/>
    <mergeCell ref="D108:F108"/>
    <mergeCell ref="B109:C109"/>
    <mergeCell ref="D109:F109"/>
    <mergeCell ref="B110:C110"/>
    <mergeCell ref="D110:F110"/>
    <mergeCell ref="B103:C103"/>
    <mergeCell ref="D103:F103"/>
    <mergeCell ref="D104:F104"/>
    <mergeCell ref="B105:C105"/>
    <mergeCell ref="D105:F105"/>
    <mergeCell ref="B106:C106"/>
    <mergeCell ref="D106:F106"/>
    <mergeCell ref="D99:F99"/>
    <mergeCell ref="B100:C100"/>
    <mergeCell ref="D100:F100"/>
    <mergeCell ref="B101:C101"/>
    <mergeCell ref="D101:F101"/>
    <mergeCell ref="B102:C102"/>
    <mergeCell ref="D102:F102"/>
    <mergeCell ref="D95:F95"/>
    <mergeCell ref="B96:C96"/>
    <mergeCell ref="D96:F96"/>
    <mergeCell ref="B97:C97"/>
    <mergeCell ref="D97:F97"/>
    <mergeCell ref="B98:C98"/>
    <mergeCell ref="D98:F98"/>
    <mergeCell ref="D91:F91"/>
    <mergeCell ref="B92:C92"/>
    <mergeCell ref="D92:F92"/>
    <mergeCell ref="B93:C93"/>
    <mergeCell ref="D93:F93"/>
    <mergeCell ref="B94:C94"/>
    <mergeCell ref="D94:F94"/>
    <mergeCell ref="B87:C87"/>
    <mergeCell ref="D87:F87"/>
    <mergeCell ref="D88:F88"/>
    <mergeCell ref="B89:C89"/>
    <mergeCell ref="D89:F89"/>
    <mergeCell ref="B90:C90"/>
    <mergeCell ref="D90:F90"/>
    <mergeCell ref="B83:C83"/>
    <mergeCell ref="D83:F83"/>
    <mergeCell ref="D84:F84"/>
    <mergeCell ref="B85:C85"/>
    <mergeCell ref="D85:F85"/>
    <mergeCell ref="B86:C86"/>
    <mergeCell ref="D86:F86"/>
    <mergeCell ref="D79:F79"/>
    <mergeCell ref="B80:C80"/>
    <mergeCell ref="D80:F80"/>
    <mergeCell ref="D81:F81"/>
    <mergeCell ref="B82:C82"/>
    <mergeCell ref="D82:F82"/>
    <mergeCell ref="B76:C76"/>
    <mergeCell ref="D76:F76"/>
    <mergeCell ref="B77:C77"/>
    <mergeCell ref="D77:F77"/>
    <mergeCell ref="B78:C78"/>
    <mergeCell ref="D78:F78"/>
    <mergeCell ref="B72:C72"/>
    <mergeCell ref="D72:F72"/>
    <mergeCell ref="D73:F73"/>
    <mergeCell ref="B74:C74"/>
    <mergeCell ref="D74:F74"/>
    <mergeCell ref="D75:F75"/>
    <mergeCell ref="B47:C47"/>
    <mergeCell ref="C48:F48"/>
    <mergeCell ref="B49:F49"/>
    <mergeCell ref="B50:F50"/>
    <mergeCell ref="B51:F51"/>
    <mergeCell ref="C52:F52"/>
    <mergeCell ref="B61:C61"/>
    <mergeCell ref="D61:F61"/>
    <mergeCell ref="B62:C62"/>
    <mergeCell ref="D62:F62"/>
    <mergeCell ref="B58:C58"/>
    <mergeCell ref="D58:F58"/>
    <mergeCell ref="B59:C59"/>
    <mergeCell ref="D59:F59"/>
    <mergeCell ref="B60:C60"/>
    <mergeCell ref="D60:F60"/>
    <mergeCell ref="B54:F54"/>
    <mergeCell ref="D55:F55"/>
    <mergeCell ref="B56:C56"/>
    <mergeCell ref="D56:F56"/>
    <mergeCell ref="B57:C57"/>
    <mergeCell ref="D57:F57"/>
    <mergeCell ref="D63:F63"/>
    <mergeCell ref="B64:C64"/>
    <mergeCell ref="D64:F64"/>
    <mergeCell ref="B68:C68"/>
    <mergeCell ref="D68:F68"/>
    <mergeCell ref="D69:F69"/>
    <mergeCell ref="B70:C70"/>
    <mergeCell ref="D70:F70"/>
    <mergeCell ref="B71:C71"/>
    <mergeCell ref="D71:F71"/>
    <mergeCell ref="B65:C65"/>
    <mergeCell ref="D65:F65"/>
    <mergeCell ref="B66:C66"/>
    <mergeCell ref="D66:F66"/>
    <mergeCell ref="B67:C67"/>
    <mergeCell ref="D67:F67"/>
  </mergeCells>
  <pageMargins left="0.7" right="0.7" top="0.75" bottom="0.75" header="0.3" footer="0.3"/>
  <pageSetup paperSize="9" scale="89" fitToHeight="0" orientation="portrait" r:id="rId1"/>
  <rowBreaks count="6" manualBreakCount="6">
    <brk id="44" max="16383" man="1"/>
    <brk id="87" max="16383" man="1"/>
    <brk id="123" max="5" man="1"/>
    <brk id="161" max="5" man="1"/>
    <brk id="178" max="16383" man="1"/>
    <brk id="329" max="5" man="1"/>
  </rowBreaks>
  <colBreaks count="1" manualBreakCount="1">
    <brk id="6" max="334" man="1"/>
  </colBreaks>
  <drawing r:id="rId2"/>
  <legacyDrawing r:id="rId3"/>
  <controls>
    <mc:AlternateContent xmlns:mc="http://schemas.openxmlformats.org/markup-compatibility/2006">
      <mc:Choice Requires="x14">
        <control shapeId="28677" r:id="rId4" name="cmdArea">
          <controlPr defaultSize="0" autoLine="0" r:id="rId5">
            <anchor moveWithCells="1">
              <from>
                <xdr:col>7</xdr:col>
                <xdr:colOff>47625</xdr:colOff>
                <xdr:row>177</xdr:row>
                <xdr:rowOff>19050</xdr:rowOff>
              </from>
              <to>
                <xdr:col>7</xdr:col>
                <xdr:colOff>1790700</xdr:colOff>
                <xdr:row>177</xdr:row>
                <xdr:rowOff>285750</xdr:rowOff>
              </to>
            </anchor>
          </controlPr>
        </control>
      </mc:Choice>
      <mc:Fallback>
        <control shapeId="28677" r:id="rId4" name="cmdArea"/>
      </mc:Fallback>
    </mc:AlternateContent>
    <mc:AlternateContent xmlns:mc="http://schemas.openxmlformats.org/markup-compatibility/2006">
      <mc:Choice Requires="x14">
        <control shapeId="28676" r:id="rId6" name="cmbTimePeriod">
          <controlPr defaultSize="0" autoLine="0" r:id="rId7">
            <anchor moveWithCells="1">
              <from>
                <xdr:col>7</xdr:col>
                <xdr:colOff>38100</xdr:colOff>
                <xdr:row>171</xdr:row>
                <xdr:rowOff>38100</xdr:rowOff>
              </from>
              <to>
                <xdr:col>7</xdr:col>
                <xdr:colOff>1885950</xdr:colOff>
                <xdr:row>171</xdr:row>
                <xdr:rowOff>276225</xdr:rowOff>
              </to>
            </anchor>
          </controlPr>
        </control>
      </mc:Choice>
      <mc:Fallback>
        <control shapeId="28676" r:id="rId6" name="cmbTimePeriod"/>
      </mc:Fallback>
    </mc:AlternateContent>
    <mc:AlternateContent xmlns:mc="http://schemas.openxmlformats.org/markup-compatibility/2006">
      <mc:Choice Requires="x14">
        <control shapeId="28675" r:id="rId8" name="optECHUCA">
          <controlPr defaultSize="0" autoLine="0" r:id="rId9">
            <anchor moveWithCells="1">
              <from>
                <xdr:col>7</xdr:col>
                <xdr:colOff>2247900</xdr:colOff>
                <xdr:row>173</xdr:row>
                <xdr:rowOff>19050</xdr:rowOff>
              </from>
              <to>
                <xdr:col>7</xdr:col>
                <xdr:colOff>3238500</xdr:colOff>
                <xdr:row>174</xdr:row>
                <xdr:rowOff>0</xdr:rowOff>
              </to>
            </anchor>
          </controlPr>
        </control>
      </mc:Choice>
      <mc:Fallback>
        <control shapeId="28675" r:id="rId8" name="optECHUCA"/>
      </mc:Fallback>
    </mc:AlternateContent>
    <mc:AlternateContent xmlns:mc="http://schemas.openxmlformats.org/markup-compatibility/2006">
      <mc:Choice Requires="x14">
        <control shapeId="28674" r:id="rId10" name="optShepparton">
          <controlPr defaultSize="0" autoLine="0" r:id="rId11">
            <anchor moveWithCells="1">
              <from>
                <xdr:col>7</xdr:col>
                <xdr:colOff>342900</xdr:colOff>
                <xdr:row>173</xdr:row>
                <xdr:rowOff>19050</xdr:rowOff>
              </from>
              <to>
                <xdr:col>7</xdr:col>
                <xdr:colOff>1333500</xdr:colOff>
                <xdr:row>174</xdr:row>
                <xdr:rowOff>0</xdr:rowOff>
              </to>
            </anchor>
          </controlPr>
        </control>
      </mc:Choice>
      <mc:Fallback>
        <control shapeId="28674" r:id="rId10" name="optShepparton"/>
      </mc:Fallback>
    </mc:AlternateContent>
    <mc:AlternateContent xmlns:mc="http://schemas.openxmlformats.org/markup-compatibility/2006">
      <mc:Choice Requires="x14">
        <control shapeId="28673" r:id="rId12" name="ComboBox1">
          <controlPr defaultSize="0" autoLine="0" r:id="rId13">
            <anchor moveWithCells="1">
              <from>
                <xdr:col>2</xdr:col>
                <xdr:colOff>9525</xdr:colOff>
                <xdr:row>185</xdr:row>
                <xdr:rowOff>19050</xdr:rowOff>
              </from>
              <to>
                <xdr:col>3</xdr:col>
                <xdr:colOff>0</xdr:colOff>
                <xdr:row>185</xdr:row>
                <xdr:rowOff>257175</xdr:rowOff>
              </to>
            </anchor>
          </controlPr>
        </control>
      </mc:Choice>
      <mc:Fallback>
        <control shapeId="28673" r:id="rId12" name="ComboBox1"/>
      </mc:Fallback>
    </mc:AlternateContent>
  </control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FE12E0-724B-4BFB-9D3F-CA608891B7C0}">
  <sheetPr codeName="Sheet5"/>
  <dimension ref="B1:Y34"/>
  <sheetViews>
    <sheetView workbookViewId="0">
      <selection activeCell="C17" sqref="C17"/>
    </sheetView>
  </sheetViews>
  <sheetFormatPr defaultColWidth="9.140625" defaultRowHeight="15"/>
  <cols>
    <col min="1" max="1" width="9.140625" style="252"/>
    <col min="2" max="2" width="9.5703125" style="252" customWidth="1"/>
    <col min="3" max="3" width="10.7109375" style="252" customWidth="1"/>
    <col min="4" max="5" width="10.7109375" style="252" hidden="1" customWidth="1"/>
    <col min="6" max="6" width="10.7109375" style="252" customWidth="1"/>
    <col min="7" max="8" width="10.7109375" style="252" hidden="1" customWidth="1"/>
    <col min="9" max="9" width="10.7109375" style="252" customWidth="1"/>
    <col min="10" max="11" width="10.7109375" style="252" hidden="1" customWidth="1"/>
    <col min="12" max="12" width="10.42578125" style="252" customWidth="1"/>
    <col min="13" max="14" width="10.42578125" style="252" hidden="1" customWidth="1"/>
    <col min="15" max="15" width="11.85546875" style="252" customWidth="1"/>
    <col min="16" max="17" width="10.7109375" style="252" hidden="1" customWidth="1"/>
    <col min="18" max="18" width="10.7109375" style="252" customWidth="1"/>
    <col min="19" max="20" width="10.7109375" style="252" hidden="1" customWidth="1"/>
    <col min="21" max="21" width="10.7109375" style="252" customWidth="1"/>
    <col min="22" max="22" width="10.42578125" style="252" hidden="1" customWidth="1"/>
    <col min="23" max="23" width="10.7109375" style="252" hidden="1" customWidth="1"/>
    <col min="24" max="24" width="10.7109375" style="252" customWidth="1"/>
    <col min="25" max="25" width="9.140625" style="252" customWidth="1"/>
    <col min="26" max="16384" width="9.140625" style="252"/>
  </cols>
  <sheetData>
    <row r="1" spans="2:24" customFormat="1"/>
    <row r="2" spans="2:24" customFormat="1" ht="15.75">
      <c r="B2" s="251" t="s">
        <v>543</v>
      </c>
    </row>
    <row r="3" spans="2:24" customFormat="1"/>
    <row r="4" spans="2:24" ht="19.5" thickBot="1">
      <c r="B4" s="107" t="s">
        <v>162</v>
      </c>
      <c r="C4"/>
      <c r="D4"/>
      <c r="E4"/>
      <c r="F4"/>
      <c r="G4"/>
      <c r="H4"/>
      <c r="I4"/>
      <c r="J4"/>
      <c r="K4"/>
      <c r="L4"/>
      <c r="M4"/>
      <c r="N4"/>
      <c r="O4"/>
      <c r="P4"/>
      <c r="Q4"/>
      <c r="R4"/>
      <c r="S4"/>
      <c r="T4"/>
      <c r="U4"/>
      <c r="V4"/>
      <c r="W4"/>
      <c r="X4"/>
    </row>
    <row r="5" spans="2:24" s="256" customFormat="1" ht="54.75" customHeight="1">
      <c r="B5" s="253" t="s">
        <v>544</v>
      </c>
      <c r="C5" s="254" t="s">
        <v>545</v>
      </c>
      <c r="D5" s="254"/>
      <c r="E5" s="254"/>
      <c r="F5" s="254" t="s">
        <v>546</v>
      </c>
      <c r="G5" s="254"/>
      <c r="H5" s="254"/>
      <c r="I5" s="254" t="s">
        <v>547</v>
      </c>
      <c r="J5" s="254"/>
      <c r="K5" s="254"/>
      <c r="L5" s="254" t="s">
        <v>548</v>
      </c>
      <c r="M5" s="254"/>
      <c r="N5" s="254"/>
      <c r="O5" s="254" t="s">
        <v>1150</v>
      </c>
      <c r="P5" s="254"/>
      <c r="Q5" s="254"/>
      <c r="R5" s="254" t="s">
        <v>986</v>
      </c>
      <c r="S5" s="254"/>
      <c r="T5" s="254"/>
      <c r="U5" s="254" t="s">
        <v>549</v>
      </c>
      <c r="V5" s="254"/>
      <c r="W5" s="254"/>
      <c r="X5" s="255" t="s">
        <v>173</v>
      </c>
    </row>
    <row r="6" spans="2:24">
      <c r="B6" s="530" t="s">
        <v>1401</v>
      </c>
      <c r="D6">
        <v>390</v>
      </c>
      <c r="E6">
        <f t="shared" ref="E6:E8" si="0">+D6*C6</f>
        <v>0</v>
      </c>
      <c r="G6">
        <v>530</v>
      </c>
      <c r="H6">
        <f t="shared" ref="H6:H8" si="1">+G6*F6</f>
        <v>0</v>
      </c>
      <c r="J6">
        <v>530</v>
      </c>
      <c r="K6">
        <f t="shared" ref="K6:K8" si="2">+J6*I6</f>
        <v>0</v>
      </c>
      <c r="M6">
        <v>670</v>
      </c>
      <c r="N6">
        <f t="shared" ref="N6:N8" si="3">+M6*L6</f>
        <v>0</v>
      </c>
      <c r="O6" t="s">
        <v>550</v>
      </c>
      <c r="P6" t="s">
        <v>550</v>
      </c>
      <c r="Q6"/>
      <c r="R6" t="s">
        <v>550</v>
      </c>
      <c r="S6" t="s">
        <v>550</v>
      </c>
      <c r="T6"/>
      <c r="V6">
        <v>75</v>
      </c>
      <c r="W6"/>
      <c r="X6" s="258">
        <f t="shared" ref="X6:X8" si="4">+E6+H6+K6+N6+W6</f>
        <v>0</v>
      </c>
    </row>
    <row r="7" spans="2:24">
      <c r="B7" s="530" t="s">
        <v>1402</v>
      </c>
      <c r="D7">
        <v>510</v>
      </c>
      <c r="E7">
        <f t="shared" si="0"/>
        <v>0</v>
      </c>
      <c r="G7">
        <v>790</v>
      </c>
      <c r="H7">
        <f t="shared" si="1"/>
        <v>0</v>
      </c>
      <c r="J7">
        <v>790</v>
      </c>
      <c r="K7">
        <f t="shared" si="2"/>
        <v>0</v>
      </c>
      <c r="M7">
        <v>930</v>
      </c>
      <c r="N7">
        <f t="shared" si="3"/>
        <v>0</v>
      </c>
      <c r="O7" t="s">
        <v>550</v>
      </c>
      <c r="P7" t="s">
        <v>550</v>
      </c>
      <c r="Q7"/>
      <c r="R7" t="s">
        <v>550</v>
      </c>
      <c r="S7" t="s">
        <v>550</v>
      </c>
      <c r="T7"/>
      <c r="V7">
        <v>100</v>
      </c>
      <c r="W7"/>
      <c r="X7" s="258">
        <f t="shared" si="4"/>
        <v>0</v>
      </c>
    </row>
    <row r="8" spans="2:24">
      <c r="B8" s="530" t="s">
        <v>1403</v>
      </c>
      <c r="D8">
        <v>715</v>
      </c>
      <c r="E8">
        <f t="shared" si="0"/>
        <v>0</v>
      </c>
      <c r="G8">
        <v>1000</v>
      </c>
      <c r="H8">
        <f t="shared" si="1"/>
        <v>0</v>
      </c>
      <c r="J8">
        <v>1000</v>
      </c>
      <c r="K8">
        <f t="shared" si="2"/>
        <v>0</v>
      </c>
      <c r="M8">
        <v>1135</v>
      </c>
      <c r="N8">
        <f t="shared" si="3"/>
        <v>0</v>
      </c>
      <c r="O8" t="s">
        <v>550</v>
      </c>
      <c r="P8" t="s">
        <v>550</v>
      </c>
      <c r="Q8"/>
      <c r="R8" t="s">
        <v>550</v>
      </c>
      <c r="S8" t="s">
        <v>550</v>
      </c>
      <c r="T8"/>
      <c r="V8">
        <v>100</v>
      </c>
      <c r="W8"/>
      <c r="X8" s="258">
        <f t="shared" si="4"/>
        <v>0</v>
      </c>
    </row>
    <row r="9" spans="2:24">
      <c r="B9" s="257">
        <v>1006</v>
      </c>
      <c r="D9">
        <v>315</v>
      </c>
      <c r="E9">
        <f t="shared" ref="E9:E18" si="5">+D9*C9</f>
        <v>0</v>
      </c>
      <c r="G9">
        <v>450</v>
      </c>
      <c r="H9">
        <f t="shared" ref="H9:H18" si="6">+G9*F9</f>
        <v>0</v>
      </c>
      <c r="J9">
        <v>450</v>
      </c>
      <c r="K9">
        <f>+J9*I9</f>
        <v>0</v>
      </c>
      <c r="M9">
        <v>520</v>
      </c>
      <c r="N9">
        <f>+M9*L9</f>
        <v>0</v>
      </c>
      <c r="O9" t="s">
        <v>550</v>
      </c>
      <c r="P9" t="s">
        <v>550</v>
      </c>
      <c r="Q9"/>
      <c r="R9" t="s">
        <v>550</v>
      </c>
      <c r="S9" t="s">
        <v>550</v>
      </c>
      <c r="T9"/>
      <c r="V9">
        <v>50</v>
      </c>
      <c r="W9">
        <f>+V9*U9</f>
        <v>0</v>
      </c>
      <c r="X9" s="258">
        <f>+E9+H9+K9+N9+W9</f>
        <v>0</v>
      </c>
    </row>
    <row r="10" spans="2:24">
      <c r="B10" s="257">
        <v>1212</v>
      </c>
      <c r="D10">
        <v>440</v>
      </c>
      <c r="E10">
        <f t="shared" si="5"/>
        <v>0</v>
      </c>
      <c r="G10">
        <v>775</v>
      </c>
      <c r="H10">
        <f t="shared" si="6"/>
        <v>0</v>
      </c>
      <c r="J10">
        <v>655</v>
      </c>
      <c r="K10">
        <f t="shared" ref="K10:K18" si="7">+J10*I10</f>
        <v>0</v>
      </c>
      <c r="M10">
        <v>685</v>
      </c>
      <c r="N10">
        <f t="shared" ref="N10:N18" si="8">+M10*L10</f>
        <v>0</v>
      </c>
      <c r="O10" t="s">
        <v>550</v>
      </c>
      <c r="P10" t="s">
        <v>550</v>
      </c>
      <c r="Q10"/>
      <c r="R10" t="s">
        <v>550</v>
      </c>
      <c r="S10" t="s">
        <v>550</v>
      </c>
      <c r="T10"/>
      <c r="V10">
        <v>75</v>
      </c>
      <c r="W10">
        <f t="shared" ref="W10:W18" si="9">+V10*U10</f>
        <v>0</v>
      </c>
      <c r="X10" s="258">
        <f>+E10+H10+K10+N10+W10</f>
        <v>0</v>
      </c>
    </row>
    <row r="11" spans="2:24">
      <c r="B11" s="257">
        <v>1215</v>
      </c>
      <c r="C11" s="252">
        <v>-1</v>
      </c>
      <c r="D11">
        <v>475</v>
      </c>
      <c r="E11">
        <f t="shared" si="5"/>
        <v>-475</v>
      </c>
      <c r="G11">
        <v>870</v>
      </c>
      <c r="H11">
        <f t="shared" si="6"/>
        <v>0</v>
      </c>
      <c r="J11">
        <v>745</v>
      </c>
      <c r="K11">
        <f t="shared" si="7"/>
        <v>0</v>
      </c>
      <c r="M11">
        <v>915</v>
      </c>
      <c r="N11">
        <f t="shared" si="8"/>
        <v>0</v>
      </c>
      <c r="O11" t="s">
        <v>550</v>
      </c>
      <c r="P11" t="s">
        <v>550</v>
      </c>
      <c r="Q11"/>
      <c r="R11" t="s">
        <v>550</v>
      </c>
      <c r="S11" t="s">
        <v>550</v>
      </c>
      <c r="T11"/>
      <c r="V11">
        <v>75</v>
      </c>
      <c r="W11">
        <f t="shared" si="9"/>
        <v>0</v>
      </c>
      <c r="X11" s="258">
        <f>+E11+H11+K11+N11+W11</f>
        <v>-475</v>
      </c>
    </row>
    <row r="12" spans="2:24">
      <c r="B12" s="257">
        <v>1218</v>
      </c>
      <c r="D12">
        <f>+D11</f>
        <v>475</v>
      </c>
      <c r="E12">
        <f t="shared" si="5"/>
        <v>0</v>
      </c>
      <c r="G12">
        <v>870</v>
      </c>
      <c r="H12">
        <f t="shared" si="6"/>
        <v>0</v>
      </c>
      <c r="J12">
        <v>745</v>
      </c>
      <c r="K12">
        <f t="shared" si="7"/>
        <v>0</v>
      </c>
      <c r="M12">
        <v>915</v>
      </c>
      <c r="N12">
        <f t="shared" si="8"/>
        <v>0</v>
      </c>
      <c r="O12" t="s">
        <v>550</v>
      </c>
      <c r="P12" t="s">
        <v>550</v>
      </c>
      <c r="Q12"/>
      <c r="R12" t="s">
        <v>550</v>
      </c>
      <c r="S12" t="s">
        <v>550</v>
      </c>
      <c r="T12"/>
      <c r="V12">
        <v>75</v>
      </c>
      <c r="W12">
        <f t="shared" ref="W12:W13" si="10">+V12*U12</f>
        <v>0</v>
      </c>
      <c r="X12" s="258">
        <f t="shared" ref="X12" si="11">+E12+H12+K12+N12+W12</f>
        <v>0</v>
      </c>
    </row>
    <row r="13" spans="2:24">
      <c r="B13" s="257">
        <v>1806</v>
      </c>
      <c r="C13" s="252" t="s">
        <v>550</v>
      </c>
      <c r="D13" t="s">
        <v>550</v>
      </c>
      <c r="E13"/>
      <c r="F13" s="252" t="s">
        <v>550</v>
      </c>
      <c r="G13" t="s">
        <v>550</v>
      </c>
      <c r="H13"/>
      <c r="J13">
        <v>535</v>
      </c>
      <c r="K13">
        <f t="shared" si="7"/>
        <v>0</v>
      </c>
      <c r="M13">
        <v>620</v>
      </c>
      <c r="N13">
        <f t="shared" si="8"/>
        <v>0</v>
      </c>
      <c r="P13">
        <v>705</v>
      </c>
      <c r="Q13">
        <f t="shared" ref="Q13:Q18" si="12">+P13*O13</f>
        <v>0</v>
      </c>
      <c r="S13">
        <v>850</v>
      </c>
      <c r="T13">
        <f t="shared" ref="T13:T18" si="13">+S13*R13</f>
        <v>0</v>
      </c>
      <c r="V13">
        <v>100</v>
      </c>
      <c r="W13">
        <f t="shared" si="10"/>
        <v>0</v>
      </c>
      <c r="X13" s="258">
        <f t="shared" ref="X13:X18" si="14">+E13+H13+K13+N13+Q13+T13+W13</f>
        <v>0</v>
      </c>
    </row>
    <row r="14" spans="2:24">
      <c r="B14" s="257">
        <v>1809</v>
      </c>
      <c r="C14" s="252" t="s">
        <v>550</v>
      </c>
      <c r="D14" t="s">
        <v>550</v>
      </c>
      <c r="E14"/>
      <c r="F14" s="252" t="s">
        <v>550</v>
      </c>
      <c r="G14" t="s">
        <v>550</v>
      </c>
      <c r="H14"/>
      <c r="I14" s="252">
        <v>0</v>
      </c>
      <c r="J14">
        <v>590</v>
      </c>
      <c r="K14">
        <f t="shared" si="7"/>
        <v>0</v>
      </c>
      <c r="M14">
        <v>855</v>
      </c>
      <c r="N14">
        <f t="shared" si="8"/>
        <v>0</v>
      </c>
      <c r="P14">
        <v>850</v>
      </c>
      <c r="Q14">
        <f t="shared" si="12"/>
        <v>0</v>
      </c>
      <c r="S14">
        <v>1075</v>
      </c>
      <c r="T14">
        <f t="shared" si="13"/>
        <v>0</v>
      </c>
      <c r="V14">
        <v>100</v>
      </c>
      <c r="W14">
        <f t="shared" si="9"/>
        <v>0</v>
      </c>
      <c r="X14" s="258">
        <f t="shared" si="14"/>
        <v>0</v>
      </c>
    </row>
    <row r="15" spans="2:24">
      <c r="B15" s="257">
        <v>1812</v>
      </c>
      <c r="D15">
        <v>450</v>
      </c>
      <c r="E15">
        <f t="shared" si="5"/>
        <v>0</v>
      </c>
      <c r="G15">
        <v>840</v>
      </c>
      <c r="H15">
        <f t="shared" si="6"/>
        <v>0</v>
      </c>
      <c r="J15">
        <v>680</v>
      </c>
      <c r="K15">
        <f t="shared" si="7"/>
        <v>0</v>
      </c>
      <c r="M15">
        <f>+M14</f>
        <v>855</v>
      </c>
      <c r="N15">
        <f t="shared" si="8"/>
        <v>0</v>
      </c>
      <c r="P15">
        <f>+J15+250</f>
        <v>930</v>
      </c>
      <c r="Q15">
        <f t="shared" si="12"/>
        <v>0</v>
      </c>
      <c r="S15">
        <v>980</v>
      </c>
      <c r="T15">
        <f t="shared" si="13"/>
        <v>0</v>
      </c>
      <c r="V15">
        <v>100</v>
      </c>
      <c r="W15">
        <f t="shared" si="9"/>
        <v>0</v>
      </c>
      <c r="X15" s="258">
        <f t="shared" si="14"/>
        <v>0</v>
      </c>
    </row>
    <row r="16" spans="2:24">
      <c r="B16" s="257">
        <v>1818</v>
      </c>
      <c r="C16" s="252">
        <v>1</v>
      </c>
      <c r="D16">
        <v>500</v>
      </c>
      <c r="E16">
        <f t="shared" si="5"/>
        <v>500</v>
      </c>
      <c r="G16">
        <v>1015</v>
      </c>
      <c r="H16">
        <f t="shared" si="6"/>
        <v>0</v>
      </c>
      <c r="J16">
        <v>870</v>
      </c>
      <c r="K16">
        <f t="shared" si="7"/>
        <v>0</v>
      </c>
      <c r="M16">
        <v>1115</v>
      </c>
      <c r="N16">
        <f t="shared" si="8"/>
        <v>0</v>
      </c>
      <c r="P16">
        <v>1195</v>
      </c>
      <c r="Q16">
        <f t="shared" si="12"/>
        <v>0</v>
      </c>
      <c r="S16">
        <v>1280</v>
      </c>
      <c r="T16">
        <f t="shared" si="13"/>
        <v>0</v>
      </c>
      <c r="V16">
        <v>150</v>
      </c>
      <c r="W16">
        <f t="shared" si="9"/>
        <v>0</v>
      </c>
      <c r="X16" s="258">
        <f t="shared" si="14"/>
        <v>500</v>
      </c>
    </row>
    <row r="17" spans="2:25">
      <c r="B17" s="257">
        <v>1821</v>
      </c>
      <c r="D17">
        <v>735</v>
      </c>
      <c r="E17">
        <f t="shared" si="5"/>
        <v>0</v>
      </c>
      <c r="G17">
        <v>1100</v>
      </c>
      <c r="H17">
        <f t="shared" si="6"/>
        <v>0</v>
      </c>
      <c r="J17">
        <v>895</v>
      </c>
      <c r="K17">
        <f t="shared" si="7"/>
        <v>0</v>
      </c>
      <c r="M17">
        <v>1200</v>
      </c>
      <c r="N17">
        <f t="shared" si="8"/>
        <v>0</v>
      </c>
      <c r="P17">
        <v>1350</v>
      </c>
      <c r="Q17">
        <f t="shared" si="12"/>
        <v>0</v>
      </c>
      <c r="S17">
        <v>2210</v>
      </c>
      <c r="T17">
        <f t="shared" si="13"/>
        <v>0</v>
      </c>
      <c r="V17">
        <v>200</v>
      </c>
      <c r="W17">
        <f t="shared" si="9"/>
        <v>0</v>
      </c>
      <c r="X17" s="258">
        <f t="shared" si="14"/>
        <v>0</v>
      </c>
    </row>
    <row r="18" spans="2:25">
      <c r="B18" s="257">
        <v>1824</v>
      </c>
      <c r="D18">
        <v>790</v>
      </c>
      <c r="E18">
        <f t="shared" si="5"/>
        <v>0</v>
      </c>
      <c r="G18">
        <v>1440</v>
      </c>
      <c r="H18">
        <f t="shared" si="6"/>
        <v>0</v>
      </c>
      <c r="J18">
        <v>1145</v>
      </c>
      <c r="K18">
        <f t="shared" si="7"/>
        <v>0</v>
      </c>
      <c r="M18">
        <v>1445</v>
      </c>
      <c r="N18">
        <f t="shared" si="8"/>
        <v>0</v>
      </c>
      <c r="P18">
        <v>1550</v>
      </c>
      <c r="Q18">
        <f t="shared" si="12"/>
        <v>0</v>
      </c>
      <c r="S18">
        <v>2610</v>
      </c>
      <c r="T18">
        <f t="shared" si="13"/>
        <v>0</v>
      </c>
      <c r="V18">
        <v>300</v>
      </c>
      <c r="W18">
        <f t="shared" si="9"/>
        <v>0</v>
      </c>
      <c r="X18" s="258">
        <f t="shared" si="14"/>
        <v>0</v>
      </c>
    </row>
    <row r="19" spans="2:25">
      <c r="B19" s="257"/>
      <c r="C19"/>
      <c r="D19"/>
      <c r="E19"/>
      <c r="F19"/>
      <c r="G19"/>
      <c r="H19"/>
      <c r="I19"/>
      <c r="J19"/>
      <c r="K19"/>
      <c r="L19"/>
      <c r="M19"/>
      <c r="N19"/>
      <c r="O19"/>
      <c r="P19"/>
      <c r="Q19"/>
      <c r="R19"/>
      <c r="S19"/>
      <c r="T19"/>
      <c r="U19" s="101" t="s">
        <v>173</v>
      </c>
      <c r="V19"/>
      <c r="W19"/>
      <c r="X19" s="259">
        <f>SUM(X6:X18)</f>
        <v>25</v>
      </c>
    </row>
    <row r="20" spans="2:25" ht="18.75">
      <c r="B20" s="260" t="s">
        <v>551</v>
      </c>
      <c r="C20"/>
      <c r="D20"/>
      <c r="E20"/>
      <c r="F20"/>
      <c r="G20"/>
      <c r="H20"/>
      <c r="I20"/>
      <c r="J20"/>
      <c r="K20"/>
      <c r="L20"/>
      <c r="M20"/>
      <c r="N20"/>
      <c r="O20"/>
      <c r="P20"/>
      <c r="Q20"/>
      <c r="R20"/>
      <c r="S20"/>
      <c r="T20"/>
      <c r="U20"/>
      <c r="V20"/>
      <c r="W20"/>
      <c r="X20" s="261"/>
    </row>
    <row r="21" spans="2:25" s="263" customFormat="1" ht="60">
      <c r="B21" s="262" t="s">
        <v>552</v>
      </c>
      <c r="C21" s="527" t="s">
        <v>545</v>
      </c>
      <c r="D21" s="527"/>
      <c r="E21" s="527"/>
      <c r="F21" s="527" t="s">
        <v>553</v>
      </c>
      <c r="G21" s="528"/>
      <c r="H21" s="527"/>
      <c r="I21" s="527" t="s">
        <v>554</v>
      </c>
      <c r="J21" s="529"/>
      <c r="L21" s="527" t="s">
        <v>555</v>
      </c>
      <c r="M21" s="527"/>
      <c r="N21" s="529"/>
      <c r="O21" s="527" t="s">
        <v>556</v>
      </c>
      <c r="P21" s="529"/>
      <c r="Q21" s="529"/>
      <c r="R21" s="527" t="s">
        <v>557</v>
      </c>
      <c r="S21" s="529"/>
      <c r="T21" s="529"/>
      <c r="U21" s="529"/>
      <c r="V21" s="529"/>
      <c r="W21" s="529"/>
      <c r="X21" s="264"/>
    </row>
    <row r="22" spans="2:25">
      <c r="B22" s="257">
        <v>2115</v>
      </c>
      <c r="D22">
        <v>1310</v>
      </c>
      <c r="E22">
        <f t="shared" ref="E22:E28" si="15">+D22*C22</f>
        <v>0</v>
      </c>
      <c r="G22">
        <v>1680</v>
      </c>
      <c r="H22">
        <f t="shared" ref="H22:H28" si="16">+G22*F22</f>
        <v>0</v>
      </c>
      <c r="I22" t="s">
        <v>550</v>
      </c>
      <c r="L22" t="s">
        <v>550</v>
      </c>
      <c r="M22"/>
      <c r="N22"/>
      <c r="O22" t="s">
        <v>550</v>
      </c>
      <c r="P22"/>
      <c r="Q22"/>
      <c r="R22" t="s">
        <v>550</v>
      </c>
      <c r="S22"/>
      <c r="T22"/>
      <c r="U22"/>
      <c r="V22"/>
      <c r="W22"/>
      <c r="X22" s="258">
        <f>+E22+H22</f>
        <v>0</v>
      </c>
    </row>
    <row r="23" spans="2:25">
      <c r="B23" s="257">
        <v>2118</v>
      </c>
      <c r="D23">
        <v>1375</v>
      </c>
      <c r="E23">
        <f t="shared" si="15"/>
        <v>0</v>
      </c>
      <c r="G23">
        <v>1830</v>
      </c>
      <c r="H23">
        <f t="shared" si="16"/>
        <v>0</v>
      </c>
      <c r="I23" t="s">
        <v>550</v>
      </c>
      <c r="L23" t="s">
        <v>550</v>
      </c>
      <c r="M23"/>
      <c r="N23"/>
      <c r="O23" t="s">
        <v>550</v>
      </c>
      <c r="P23"/>
      <c r="Q23"/>
      <c r="R23" t="s">
        <v>550</v>
      </c>
      <c r="S23"/>
      <c r="T23"/>
      <c r="U23"/>
      <c r="V23"/>
      <c r="W23"/>
      <c r="X23" s="258">
        <f>+H23+E23</f>
        <v>0</v>
      </c>
    </row>
    <row r="24" spans="2:25">
      <c r="B24" s="257">
        <v>2121</v>
      </c>
      <c r="D24">
        <v>1500</v>
      </c>
      <c r="E24">
        <f t="shared" si="15"/>
        <v>0</v>
      </c>
      <c r="G24">
        <v>2040</v>
      </c>
      <c r="H24">
        <f t="shared" si="16"/>
        <v>0</v>
      </c>
      <c r="I24" t="s">
        <v>550</v>
      </c>
      <c r="L24" t="s">
        <v>550</v>
      </c>
      <c r="M24"/>
      <c r="N24"/>
      <c r="O24" t="s">
        <v>550</v>
      </c>
      <c r="P24"/>
      <c r="Q24"/>
      <c r="R24" t="s">
        <v>550</v>
      </c>
      <c r="S24"/>
      <c r="T24"/>
      <c r="U24"/>
      <c r="V24"/>
      <c r="W24"/>
      <c r="X24" s="258">
        <f>+H24+E24</f>
        <v>0</v>
      </c>
    </row>
    <row r="25" spans="2:25">
      <c r="B25" s="257">
        <v>2124</v>
      </c>
      <c r="D25">
        <v>1595</v>
      </c>
      <c r="E25">
        <f t="shared" si="15"/>
        <v>0</v>
      </c>
      <c r="G25">
        <v>2270</v>
      </c>
      <c r="H25">
        <f t="shared" si="16"/>
        <v>0</v>
      </c>
      <c r="I25" t="s">
        <v>550</v>
      </c>
      <c r="L25" t="s">
        <v>550</v>
      </c>
      <c r="M25"/>
      <c r="N25"/>
      <c r="O25" t="s">
        <v>550</v>
      </c>
      <c r="P25"/>
      <c r="Q25"/>
      <c r="R25" t="s">
        <v>550</v>
      </c>
      <c r="S25"/>
      <c r="T25"/>
      <c r="U25"/>
      <c r="V25"/>
      <c r="W25"/>
      <c r="X25" s="258">
        <f>+H25+E25</f>
        <v>0</v>
      </c>
    </row>
    <row r="26" spans="2:25">
      <c r="B26" s="257">
        <v>2127</v>
      </c>
      <c r="D26">
        <v>1835</v>
      </c>
      <c r="E26">
        <f t="shared" si="15"/>
        <v>0</v>
      </c>
      <c r="G26">
        <v>3060</v>
      </c>
      <c r="H26">
        <f t="shared" si="16"/>
        <v>0</v>
      </c>
      <c r="I26" t="s">
        <v>550</v>
      </c>
      <c r="L26" t="s">
        <v>550</v>
      </c>
      <c r="M26"/>
      <c r="N26"/>
      <c r="O26" t="s">
        <v>550</v>
      </c>
      <c r="P26"/>
      <c r="Q26"/>
      <c r="R26" t="s">
        <v>550</v>
      </c>
      <c r="S26"/>
      <c r="T26"/>
      <c r="U26"/>
      <c r="V26"/>
      <c r="W26"/>
      <c r="X26" s="258">
        <f>+H26+E26</f>
        <v>0</v>
      </c>
    </row>
    <row r="27" spans="2:25">
      <c r="B27" s="257">
        <v>2130</v>
      </c>
      <c r="D27">
        <f>+D28</f>
        <v>2200</v>
      </c>
      <c r="E27">
        <f t="shared" si="15"/>
        <v>0</v>
      </c>
      <c r="G27">
        <f>+G28</f>
        <v>3225</v>
      </c>
      <c r="H27">
        <f t="shared" si="16"/>
        <v>0</v>
      </c>
      <c r="I27" t="s">
        <v>550</v>
      </c>
      <c r="L27" t="s">
        <v>550</v>
      </c>
      <c r="M27"/>
      <c r="N27"/>
      <c r="O27" t="s">
        <v>550</v>
      </c>
      <c r="P27"/>
      <c r="Q27"/>
      <c r="R27" t="s">
        <v>550</v>
      </c>
      <c r="S27"/>
      <c r="T27"/>
      <c r="U27"/>
      <c r="V27"/>
      <c r="W27"/>
      <c r="X27" s="258">
        <f t="shared" ref="X27" si="17">+H27+E27</f>
        <v>0</v>
      </c>
    </row>
    <row r="28" spans="2:25">
      <c r="B28" s="257">
        <v>2136</v>
      </c>
      <c r="D28">
        <v>2200</v>
      </c>
      <c r="E28">
        <f t="shared" si="15"/>
        <v>0</v>
      </c>
      <c r="G28">
        <v>3225</v>
      </c>
      <c r="H28">
        <f t="shared" si="16"/>
        <v>0</v>
      </c>
      <c r="J28">
        <f>2200+500</f>
        <v>2700</v>
      </c>
      <c r="K28" s="252">
        <f>+J28*I28</f>
        <v>0</v>
      </c>
      <c r="M28">
        <f>2900+500</f>
        <v>3400</v>
      </c>
      <c r="N28">
        <f>M28*L28</f>
        <v>0</v>
      </c>
      <c r="P28" s="252">
        <v>3200</v>
      </c>
      <c r="Q28" s="252">
        <f>+P28*O28</f>
        <v>0</v>
      </c>
      <c r="S28" s="252">
        <v>3800</v>
      </c>
      <c r="T28" s="252">
        <f>+S28*R28</f>
        <v>0</v>
      </c>
      <c r="V28"/>
      <c r="W28"/>
      <c r="X28" s="258">
        <f>+E28+H28+K28+N28+Q28+T28</f>
        <v>0</v>
      </c>
    </row>
    <row r="29" spans="2:25">
      <c r="B29" s="265">
        <v>2155</v>
      </c>
      <c r="C29" s="252" t="s">
        <v>550</v>
      </c>
      <c r="F29" s="252" t="s">
        <v>550</v>
      </c>
      <c r="J29" s="252">
        <v>5710</v>
      </c>
      <c r="K29" s="252">
        <f>+J29*I29</f>
        <v>0</v>
      </c>
      <c r="M29" s="252">
        <v>7135</v>
      </c>
      <c r="N29">
        <f>M29*L29</f>
        <v>0</v>
      </c>
      <c r="O29" s="252" t="s">
        <v>550</v>
      </c>
      <c r="R29" s="252" t="s">
        <v>550</v>
      </c>
      <c r="X29" s="258">
        <f>+E29+H29+K29+N29+Q29+T29</f>
        <v>0</v>
      </c>
    </row>
    <row r="30" spans="2:25">
      <c r="B30" s="257"/>
      <c r="C30"/>
      <c r="D30"/>
      <c r="E30"/>
      <c r="F30"/>
      <c r="G30"/>
      <c r="H30"/>
      <c r="I30"/>
      <c r="J30"/>
      <c r="K30"/>
      <c r="L30"/>
      <c r="M30"/>
      <c r="N30"/>
      <c r="O30"/>
      <c r="P30"/>
      <c r="Q30"/>
      <c r="R30"/>
      <c r="S30"/>
      <c r="T30"/>
      <c r="U30" s="101" t="s">
        <v>173</v>
      </c>
      <c r="V30"/>
      <c r="W30"/>
      <c r="X30" s="266">
        <f>SUM(X22:X29)</f>
        <v>0</v>
      </c>
      <c r="Y30" s="406">
        <f>X19+X30</f>
        <v>25</v>
      </c>
    </row>
    <row r="31" spans="2:25" ht="18.75">
      <c r="B31" s="260" t="s">
        <v>1387</v>
      </c>
      <c r="C31"/>
      <c r="D31"/>
      <c r="E31"/>
      <c r="F31"/>
      <c r="G31"/>
      <c r="H31"/>
      <c r="I31"/>
      <c r="J31"/>
      <c r="K31"/>
      <c r="L31"/>
      <c r="M31"/>
      <c r="N31"/>
      <c r="O31"/>
      <c r="P31"/>
      <c r="Q31"/>
      <c r="R31"/>
      <c r="S31"/>
      <c r="T31"/>
      <c r="U31"/>
      <c r="V31"/>
      <c r="W31"/>
      <c r="X31" s="261"/>
    </row>
    <row r="32" spans="2:25">
      <c r="B32" s="257"/>
      <c r="C32"/>
      <c r="D32"/>
      <c r="E32"/>
      <c r="F32"/>
      <c r="G32"/>
      <c r="H32"/>
      <c r="I32"/>
      <c r="J32"/>
      <c r="K32"/>
      <c r="L32"/>
      <c r="M32"/>
      <c r="N32"/>
      <c r="O32"/>
      <c r="P32"/>
      <c r="Q32"/>
      <c r="R32"/>
      <c r="S32"/>
      <c r="T32"/>
      <c r="U32" t="s">
        <v>558</v>
      </c>
      <c r="V32"/>
      <c r="W32"/>
      <c r="X32" s="261"/>
    </row>
    <row r="33" spans="2:24">
      <c r="B33" s="797" t="s">
        <v>559</v>
      </c>
      <c r="C33" s="798"/>
      <c r="D33" s="798"/>
      <c r="E33" s="798"/>
      <c r="F33" s="798"/>
      <c r="G33" s="798"/>
      <c r="H33" s="798"/>
      <c r="I33" s="798"/>
      <c r="J33" s="798"/>
      <c r="K33" s="798"/>
      <c r="L33" s="798"/>
      <c r="M33" s="798"/>
      <c r="N33" s="798"/>
      <c r="O33" s="798"/>
      <c r="P33" s="798"/>
      <c r="Q33" s="798"/>
      <c r="R33" s="798"/>
      <c r="S33" s="798"/>
      <c r="T33" s="798"/>
      <c r="V33">
        <v>555</v>
      </c>
      <c r="W33">
        <f>+V33*U33</f>
        <v>0</v>
      </c>
      <c r="X33" s="266">
        <f>+W33</f>
        <v>0</v>
      </c>
    </row>
    <row r="34" spans="2:24" ht="15.75" thickBot="1">
      <c r="B34" s="267"/>
      <c r="C34" s="268"/>
      <c r="D34" s="268"/>
      <c r="E34" s="268"/>
      <c r="F34" s="268"/>
      <c r="G34" s="268"/>
      <c r="H34" s="268"/>
      <c r="I34" s="268"/>
      <c r="J34" s="268"/>
      <c r="K34" s="268"/>
      <c r="L34" s="268"/>
      <c r="M34" s="268"/>
      <c r="N34" s="268"/>
      <c r="O34" s="268"/>
      <c r="P34" s="268"/>
      <c r="Q34" s="268"/>
      <c r="R34" s="268"/>
      <c r="S34" s="268"/>
      <c r="T34" s="268"/>
      <c r="U34" s="269"/>
      <c r="V34" s="269"/>
      <c r="W34" s="269"/>
      <c r="X34" s="270"/>
    </row>
  </sheetData>
  <mergeCells count="1">
    <mergeCell ref="B33:T33"/>
  </mergeCells>
  <pageMargins left="0.7" right="0.7" top="0.75" bottom="0.75" header="0.3" footer="0.3"/>
  <pageSetup paperSize="9" orientation="portrait" horizontalDpi="120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DF296-E206-4875-99DF-D2078E1EE63A}">
  <sheetPr codeName="Sheet7"/>
  <dimension ref="B1:F37"/>
  <sheetViews>
    <sheetView topLeftCell="A14" workbookViewId="0">
      <selection activeCell="D26" sqref="D26"/>
    </sheetView>
  </sheetViews>
  <sheetFormatPr defaultColWidth="9.140625" defaultRowHeight="15"/>
  <cols>
    <col min="1" max="1" width="5.7109375" style="252" customWidth="1"/>
    <col min="2" max="2" width="9.140625" style="284"/>
    <col min="3" max="3" width="53.5703125" style="252" bestFit="1" customWidth="1"/>
    <col min="4" max="4" width="10.5703125" style="252" bestFit="1" customWidth="1"/>
    <col min="5" max="5" width="11.28515625" style="252" bestFit="1" customWidth="1"/>
    <col min="6" max="6" width="10.5703125" style="285" bestFit="1" customWidth="1"/>
    <col min="7" max="16384" width="9.140625" style="252"/>
  </cols>
  <sheetData>
    <row r="1" spans="2:6" customFormat="1"/>
    <row r="2" spans="2:6" customFormat="1" ht="15.75">
      <c r="B2" s="251" t="s">
        <v>543</v>
      </c>
    </row>
    <row r="3" spans="2:6" customFormat="1"/>
    <row r="4" spans="2:6" ht="18" customHeight="1" thickBot="1">
      <c r="B4" s="271" t="s">
        <v>134</v>
      </c>
      <c r="C4" s="107" t="s">
        <v>560</v>
      </c>
      <c r="D4" s="107" t="s">
        <v>561</v>
      </c>
      <c r="E4" s="107" t="s">
        <v>562</v>
      </c>
      <c r="F4" s="272" t="s">
        <v>173</v>
      </c>
    </row>
    <row r="5" spans="2:6" ht="18" customHeight="1">
      <c r="B5" s="273"/>
      <c r="C5" s="274" t="s">
        <v>563</v>
      </c>
      <c r="D5" s="275"/>
      <c r="E5" s="275"/>
      <c r="F5" s="276"/>
    </row>
    <row r="6" spans="2:6" ht="18" customHeight="1">
      <c r="B6" s="277" t="s">
        <v>146</v>
      </c>
      <c r="C6" t="s">
        <v>1367</v>
      </c>
      <c r="D6" s="278">
        <v>1420</v>
      </c>
      <c r="F6" s="258">
        <f>+E6*D6</f>
        <v>0</v>
      </c>
    </row>
    <row r="7" spans="2:6" ht="18" customHeight="1">
      <c r="B7" s="277" t="s">
        <v>146</v>
      </c>
      <c r="C7" t="s">
        <v>1645</v>
      </c>
      <c r="D7" s="278">
        <v>2925</v>
      </c>
      <c r="F7" s="258">
        <f t="shared" ref="F7:F17" si="0">+E7*D7</f>
        <v>0</v>
      </c>
    </row>
    <row r="8" spans="2:6" ht="18" hidden="1" customHeight="1">
      <c r="B8" s="277" t="s">
        <v>146</v>
      </c>
      <c r="C8" t="s">
        <v>1097</v>
      </c>
      <c r="D8" s="278">
        <v>1990</v>
      </c>
      <c r="F8" s="258">
        <f t="shared" si="0"/>
        <v>0</v>
      </c>
    </row>
    <row r="9" spans="2:6" ht="18" customHeight="1">
      <c r="B9" s="277" t="s">
        <v>146</v>
      </c>
      <c r="C9" t="s">
        <v>1646</v>
      </c>
      <c r="D9" s="278">
        <v>2600</v>
      </c>
      <c r="F9" s="258">
        <f t="shared" si="0"/>
        <v>0</v>
      </c>
    </row>
    <row r="10" spans="2:6" ht="18" customHeight="1">
      <c r="B10" s="277" t="s">
        <v>146</v>
      </c>
      <c r="C10" t="s">
        <v>1647</v>
      </c>
      <c r="D10" s="278">
        <v>2900</v>
      </c>
      <c r="F10" s="258">
        <f t="shared" si="0"/>
        <v>0</v>
      </c>
    </row>
    <row r="11" spans="2:6" ht="18" customHeight="1">
      <c r="B11" s="277" t="s">
        <v>564</v>
      </c>
      <c r="C11" t="s">
        <v>565</v>
      </c>
      <c r="D11" s="278">
        <v>125</v>
      </c>
      <c r="F11" s="258">
        <f t="shared" si="0"/>
        <v>0</v>
      </c>
    </row>
    <row r="12" spans="2:6" ht="18" customHeight="1">
      <c r="B12" s="277" t="s">
        <v>564</v>
      </c>
      <c r="C12" t="s">
        <v>566</v>
      </c>
      <c r="D12" s="278">
        <v>175</v>
      </c>
      <c r="F12" s="258">
        <f t="shared" si="0"/>
        <v>0</v>
      </c>
    </row>
    <row r="13" spans="2:6" ht="18" customHeight="1">
      <c r="B13" s="277" t="s">
        <v>564</v>
      </c>
      <c r="C13" t="s">
        <v>567</v>
      </c>
      <c r="D13" s="278">
        <v>30</v>
      </c>
      <c r="F13" s="258">
        <f t="shared" si="0"/>
        <v>0</v>
      </c>
    </row>
    <row r="14" spans="2:6" ht="18" customHeight="1">
      <c r="B14" s="277" t="s">
        <v>564</v>
      </c>
      <c r="C14" t="s">
        <v>1388</v>
      </c>
      <c r="D14" s="278">
        <v>1160</v>
      </c>
      <c r="F14" s="258">
        <f t="shared" si="0"/>
        <v>0</v>
      </c>
    </row>
    <row r="15" spans="2:6" ht="18" customHeight="1">
      <c r="B15" s="277" t="s">
        <v>564</v>
      </c>
      <c r="C15" t="s">
        <v>1389</v>
      </c>
      <c r="D15" s="278">
        <v>1290</v>
      </c>
      <c r="F15" s="258">
        <f t="shared" si="0"/>
        <v>0</v>
      </c>
    </row>
    <row r="16" spans="2:6" ht="18" customHeight="1">
      <c r="B16" s="277" t="s">
        <v>564</v>
      </c>
      <c r="C16" t="s">
        <v>1390</v>
      </c>
      <c r="D16" s="278">
        <v>1630</v>
      </c>
      <c r="F16" s="258">
        <f t="shared" si="0"/>
        <v>0</v>
      </c>
    </row>
    <row r="17" spans="2:6" ht="18" customHeight="1">
      <c r="B17" s="277" t="s">
        <v>564</v>
      </c>
      <c r="C17" t="s">
        <v>1391</v>
      </c>
      <c r="D17" s="278">
        <v>1800</v>
      </c>
      <c r="F17" s="258">
        <f t="shared" si="0"/>
        <v>0</v>
      </c>
    </row>
    <row r="18" spans="2:6" ht="18" customHeight="1">
      <c r="B18" s="277"/>
      <c r="C18"/>
      <c r="D18"/>
      <c r="E18" s="18" t="s">
        <v>568</v>
      </c>
      <c r="F18" s="279">
        <f>SUM(F6:F17)</f>
        <v>0</v>
      </c>
    </row>
    <row r="19" spans="2:6" ht="18" customHeight="1">
      <c r="B19" s="277"/>
      <c r="C19" s="280" t="s">
        <v>569</v>
      </c>
      <c r="D19"/>
      <c r="E19"/>
      <c r="F19" s="258"/>
    </row>
    <row r="20" spans="2:6" ht="18" customHeight="1">
      <c r="B20" s="277" t="s">
        <v>146</v>
      </c>
      <c r="C20" t="s">
        <v>570</v>
      </c>
      <c r="D20" s="278">
        <v>800</v>
      </c>
      <c r="F20" s="258">
        <f>+E20*D20</f>
        <v>0</v>
      </c>
    </row>
    <row r="21" spans="2:6" ht="18" customHeight="1">
      <c r="B21" s="277" t="s">
        <v>146</v>
      </c>
      <c r="C21" t="s">
        <v>571</v>
      </c>
      <c r="D21" s="278">
        <v>300</v>
      </c>
      <c r="F21" s="258">
        <f>+E21*D21</f>
        <v>0</v>
      </c>
    </row>
    <row r="22" spans="2:6" ht="18" customHeight="1">
      <c r="B22" s="277" t="s">
        <v>146</v>
      </c>
      <c r="C22" t="s">
        <v>1374</v>
      </c>
      <c r="D22" s="278">
        <v>600</v>
      </c>
      <c r="F22" s="258">
        <f>+E22*D22</f>
        <v>0</v>
      </c>
    </row>
    <row r="23" spans="2:6" ht="18" customHeight="1">
      <c r="B23" s="277" t="s">
        <v>146</v>
      </c>
      <c r="C23" t="s">
        <v>1404</v>
      </c>
      <c r="D23" s="278">
        <v>1290</v>
      </c>
      <c r="F23" s="258">
        <f>+E23*D23</f>
        <v>0</v>
      </c>
    </row>
    <row r="24" spans="2:6" ht="18" customHeight="1">
      <c r="B24" s="277"/>
      <c r="C24"/>
      <c r="D24"/>
      <c r="E24" s="18" t="s">
        <v>568</v>
      </c>
      <c r="F24" s="279">
        <f>SUM(F20:F23)</f>
        <v>0</v>
      </c>
    </row>
    <row r="25" spans="2:6" ht="18" customHeight="1">
      <c r="B25" s="277"/>
      <c r="C25" s="280" t="s">
        <v>572</v>
      </c>
      <c r="D25"/>
      <c r="E25"/>
      <c r="F25" s="258"/>
    </row>
    <row r="26" spans="2:6" ht="18" customHeight="1">
      <c r="B26" s="277" t="s">
        <v>146</v>
      </c>
      <c r="C26" t="s">
        <v>1368</v>
      </c>
      <c r="D26" s="278">
        <v>220</v>
      </c>
      <c r="E26" s="252">
        <v>-8</v>
      </c>
      <c r="F26" s="258">
        <f t="shared" ref="F26:F35" si="1">+E26*D26</f>
        <v>-1760</v>
      </c>
    </row>
    <row r="27" spans="2:6" ht="18" customHeight="1">
      <c r="B27" s="277" t="s">
        <v>573</v>
      </c>
      <c r="C27" t="s">
        <v>1369</v>
      </c>
      <c r="D27" s="278">
        <f>+D26*2</f>
        <v>440</v>
      </c>
      <c r="F27" s="258">
        <f t="shared" si="1"/>
        <v>0</v>
      </c>
    </row>
    <row r="28" spans="2:6" ht="18" customHeight="1">
      <c r="B28" s="277" t="s">
        <v>146</v>
      </c>
      <c r="C28" t="s">
        <v>1370</v>
      </c>
      <c r="D28" s="278">
        <v>290</v>
      </c>
      <c r="E28" s="252">
        <v>8</v>
      </c>
      <c r="F28" s="258">
        <f t="shared" si="1"/>
        <v>2320</v>
      </c>
    </row>
    <row r="29" spans="2:6" ht="18" customHeight="1">
      <c r="B29" s="277" t="s">
        <v>573</v>
      </c>
      <c r="C29" t="s">
        <v>1371</v>
      </c>
      <c r="D29" s="278">
        <f>+D28*2</f>
        <v>580</v>
      </c>
      <c r="F29" s="258">
        <f t="shared" si="1"/>
        <v>0</v>
      </c>
    </row>
    <row r="30" spans="2:6" ht="18" customHeight="1">
      <c r="B30" s="277" t="s">
        <v>146</v>
      </c>
      <c r="C30" t="s">
        <v>1372</v>
      </c>
      <c r="D30" s="278">
        <v>475</v>
      </c>
      <c r="E30" s="252">
        <v>-3</v>
      </c>
      <c r="F30" s="258">
        <f t="shared" si="1"/>
        <v>-1425</v>
      </c>
    </row>
    <row r="31" spans="2:6" ht="18" customHeight="1">
      <c r="B31" s="277" t="s">
        <v>573</v>
      </c>
      <c r="C31" t="s">
        <v>1095</v>
      </c>
      <c r="D31" s="278">
        <f>+D30*2</f>
        <v>950</v>
      </c>
      <c r="F31" s="258">
        <f t="shared" si="1"/>
        <v>0</v>
      </c>
    </row>
    <row r="32" spans="2:6" ht="18" customHeight="1">
      <c r="B32" s="277" t="s">
        <v>146</v>
      </c>
      <c r="C32" t="s">
        <v>1373</v>
      </c>
      <c r="D32" s="278">
        <v>740</v>
      </c>
      <c r="E32" s="252">
        <v>3</v>
      </c>
      <c r="F32" s="258">
        <f t="shared" si="1"/>
        <v>2220</v>
      </c>
    </row>
    <row r="33" spans="2:6" ht="18" customHeight="1">
      <c r="B33" s="277" t="s">
        <v>573</v>
      </c>
      <c r="C33" t="s">
        <v>1098</v>
      </c>
      <c r="D33" s="278">
        <f>+D32*2</f>
        <v>1480</v>
      </c>
      <c r="F33" s="258">
        <f t="shared" si="1"/>
        <v>0</v>
      </c>
    </row>
    <row r="34" spans="2:6" ht="18" customHeight="1">
      <c r="B34" s="277" t="s">
        <v>564</v>
      </c>
      <c r="C34" t="s">
        <v>574</v>
      </c>
      <c r="D34" s="278">
        <v>700</v>
      </c>
      <c r="F34" s="258">
        <f t="shared" si="1"/>
        <v>0</v>
      </c>
    </row>
    <row r="35" spans="2:6" ht="18" customHeight="1">
      <c r="B35" s="277" t="s">
        <v>564</v>
      </c>
      <c r="C35" t="s">
        <v>575</v>
      </c>
      <c r="D35" s="278">
        <v>40</v>
      </c>
      <c r="F35" s="258">
        <f t="shared" si="1"/>
        <v>0</v>
      </c>
    </row>
    <row r="36" spans="2:6">
      <c r="B36" s="277"/>
      <c r="C36"/>
      <c r="D36"/>
      <c r="E36" s="18" t="s">
        <v>568</v>
      </c>
      <c r="F36" s="279">
        <f>SUM(F26:F35)</f>
        <v>1355</v>
      </c>
    </row>
    <row r="37" spans="2:6" ht="15.75" thickBot="1">
      <c r="B37" s="281"/>
      <c r="C37" s="268"/>
      <c r="D37" s="268"/>
      <c r="E37" s="282" t="s">
        <v>576</v>
      </c>
      <c r="F37" s="283">
        <f>+F36+F24+F18</f>
        <v>1355</v>
      </c>
    </row>
  </sheetData>
  <sheetProtection algorithmName="SHA-512" hashValue="n/7aboXNeT79PiCYDmx7B3VV+vOga3V9SnmjIcYIVnpALciSnc1u6+wcUJHDp21r6SmQKLxAIK2U8FZvA4DAzQ==" saltValue="TPo94iv37mQJRXFPyZJbAg==" spinCount="100000" sheet="1" objects="1" scenarios="1"/>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D2854-066A-4C99-A33A-72EE45CAD5D5}">
  <sheetPr codeName="Sheet15"/>
  <dimension ref="B1:F24"/>
  <sheetViews>
    <sheetView workbookViewId="0">
      <selection activeCell="E17" sqref="E17"/>
    </sheetView>
  </sheetViews>
  <sheetFormatPr defaultColWidth="9.140625" defaultRowHeight="15"/>
  <cols>
    <col min="1" max="1" width="5.7109375" style="252" customWidth="1"/>
    <col min="2" max="2" width="9.140625" style="284"/>
    <col min="3" max="3" width="53.140625" style="252" bestFit="1" customWidth="1"/>
    <col min="4" max="4" width="11.140625" style="252" customWidth="1"/>
    <col min="5" max="5" width="11.28515625" style="252" bestFit="1" customWidth="1"/>
    <col min="6" max="16384" width="9.140625" style="252"/>
  </cols>
  <sheetData>
    <row r="1" spans="2:6" customFormat="1"/>
    <row r="2" spans="2:6" customFormat="1" ht="15.75">
      <c r="B2" s="251" t="s">
        <v>543</v>
      </c>
    </row>
    <row r="3" spans="2:6" customFormat="1" ht="15.75" thickBot="1"/>
    <row r="4" spans="2:6" ht="19.5" thickBot="1">
      <c r="B4" s="271" t="s">
        <v>134</v>
      </c>
      <c r="C4" s="107" t="s">
        <v>577</v>
      </c>
      <c r="D4" s="286" t="s">
        <v>561</v>
      </c>
      <c r="E4" s="286" t="s">
        <v>562</v>
      </c>
      <c r="F4" s="287" t="s">
        <v>578</v>
      </c>
    </row>
    <row r="5" spans="2:6">
      <c r="B5" s="273"/>
      <c r="C5" s="274" t="s">
        <v>579</v>
      </c>
      <c r="D5" s="275"/>
      <c r="E5" s="275"/>
      <c r="F5" s="288"/>
    </row>
    <row r="6" spans="2:6">
      <c r="B6" s="277" t="s">
        <v>146</v>
      </c>
      <c r="C6" t="s">
        <v>580</v>
      </c>
      <c r="D6" s="289">
        <v>1670</v>
      </c>
      <c r="F6" s="290">
        <f>+E6*D6</f>
        <v>0</v>
      </c>
    </row>
    <row r="7" spans="2:6">
      <c r="B7" s="277" t="s">
        <v>146</v>
      </c>
      <c r="C7" t="s">
        <v>581</v>
      </c>
      <c r="D7" s="289">
        <f>+D6+100</f>
        <v>1770</v>
      </c>
      <c r="F7" s="290">
        <f>+E7*D7</f>
        <v>0</v>
      </c>
    </row>
    <row r="8" spans="2:6">
      <c r="B8" s="277" t="s">
        <v>146</v>
      </c>
      <c r="C8" t="s">
        <v>582</v>
      </c>
      <c r="D8" s="289">
        <v>3075</v>
      </c>
      <c r="F8" s="290">
        <f>+E8*D8</f>
        <v>0</v>
      </c>
    </row>
    <row r="9" spans="2:6">
      <c r="B9" s="277" t="s">
        <v>146</v>
      </c>
      <c r="C9" t="s">
        <v>583</v>
      </c>
      <c r="D9" s="289">
        <f>+D8+150</f>
        <v>3225</v>
      </c>
      <c r="F9" s="290">
        <f>+E9*D9</f>
        <v>0</v>
      </c>
    </row>
    <row r="10" spans="2:6">
      <c r="B10" s="277" t="s">
        <v>146</v>
      </c>
      <c r="C10" t="s">
        <v>584</v>
      </c>
      <c r="D10" s="289">
        <v>630</v>
      </c>
      <c r="F10" s="290">
        <f>+E10*D10</f>
        <v>0</v>
      </c>
    </row>
    <row r="11" spans="2:6">
      <c r="B11" s="277"/>
      <c r="C11"/>
      <c r="D11"/>
      <c r="E11" s="18" t="s">
        <v>568</v>
      </c>
      <c r="F11" s="291">
        <f>SUM(F6:F10)</f>
        <v>0</v>
      </c>
    </row>
    <row r="12" spans="2:6">
      <c r="B12" s="277"/>
      <c r="C12" s="280" t="s">
        <v>585</v>
      </c>
      <c r="D12"/>
      <c r="E12"/>
      <c r="F12" s="261"/>
    </row>
    <row r="13" spans="2:6">
      <c r="B13" s="277" t="s">
        <v>146</v>
      </c>
      <c r="C13" t="s">
        <v>586</v>
      </c>
      <c r="D13" s="289">
        <v>3055</v>
      </c>
      <c r="F13" s="290">
        <f t="shared" ref="F13:F19" si="0">+E13*D13</f>
        <v>0</v>
      </c>
    </row>
    <row r="14" spans="2:6">
      <c r="B14" s="277" t="s">
        <v>146</v>
      </c>
      <c r="C14" t="s">
        <v>587</v>
      </c>
      <c r="D14" s="289">
        <v>3325</v>
      </c>
      <c r="E14" s="252">
        <v>-1</v>
      </c>
      <c r="F14" s="290">
        <f t="shared" si="0"/>
        <v>-3325</v>
      </c>
    </row>
    <row r="15" spans="2:6">
      <c r="B15" s="277" t="s">
        <v>146</v>
      </c>
      <c r="C15" t="s">
        <v>588</v>
      </c>
      <c r="D15" s="289">
        <v>3855</v>
      </c>
      <c r="F15" s="290">
        <f t="shared" si="0"/>
        <v>0</v>
      </c>
    </row>
    <row r="16" spans="2:6">
      <c r="B16" s="277" t="s">
        <v>146</v>
      </c>
      <c r="C16" t="s">
        <v>589</v>
      </c>
      <c r="D16" s="289">
        <v>4370</v>
      </c>
      <c r="E16" s="252">
        <v>1</v>
      </c>
      <c r="F16" s="290">
        <f t="shared" si="0"/>
        <v>4370</v>
      </c>
    </row>
    <row r="17" spans="2:6">
      <c r="B17" s="277" t="s">
        <v>146</v>
      </c>
      <c r="C17" t="s">
        <v>590</v>
      </c>
      <c r="D17" s="289">
        <v>3905</v>
      </c>
      <c r="F17" s="290">
        <f t="shared" si="0"/>
        <v>0</v>
      </c>
    </row>
    <row r="18" spans="2:6">
      <c r="B18" s="277" t="s">
        <v>146</v>
      </c>
      <c r="C18" t="s">
        <v>591</v>
      </c>
      <c r="D18" s="289">
        <v>4085</v>
      </c>
      <c r="F18" s="290">
        <f t="shared" si="0"/>
        <v>0</v>
      </c>
    </row>
    <row r="19" spans="2:6">
      <c r="B19" s="277" t="s">
        <v>146</v>
      </c>
      <c r="C19" t="s">
        <v>592</v>
      </c>
      <c r="D19" s="289">
        <v>4570</v>
      </c>
      <c r="F19" s="290">
        <f t="shared" si="0"/>
        <v>0</v>
      </c>
    </row>
    <row r="20" spans="2:6">
      <c r="B20" s="277"/>
      <c r="C20"/>
      <c r="D20"/>
      <c r="E20" s="18" t="s">
        <v>568</v>
      </c>
      <c r="F20" s="291">
        <f>SUM(F13:F19)</f>
        <v>1045</v>
      </c>
    </row>
    <row r="21" spans="2:6">
      <c r="B21" s="277"/>
      <c r="C21" s="280" t="s">
        <v>593</v>
      </c>
      <c r="D21"/>
      <c r="E21"/>
      <c r="F21" s="261"/>
    </row>
    <row r="22" spans="2:6">
      <c r="B22" s="277" t="s">
        <v>146</v>
      </c>
      <c r="C22" t="s">
        <v>594</v>
      </c>
      <c r="D22" s="289">
        <v>415</v>
      </c>
      <c r="F22" s="290">
        <f>+E22*D22</f>
        <v>0</v>
      </c>
    </row>
    <row r="23" spans="2:6">
      <c r="B23" s="277"/>
      <c r="C23"/>
      <c r="D23"/>
      <c r="E23" s="18" t="s">
        <v>568</v>
      </c>
      <c r="F23" s="291">
        <f>+F22</f>
        <v>0</v>
      </c>
    </row>
    <row r="24" spans="2:6" ht="15.75" thickBot="1">
      <c r="B24" s="281"/>
      <c r="C24" s="268"/>
      <c r="D24" s="268"/>
      <c r="E24" s="282" t="s">
        <v>576</v>
      </c>
      <c r="F24" s="292">
        <f>+F11+F20+F23</f>
        <v>1045</v>
      </c>
    </row>
  </sheetData>
  <sheetProtection algorithmName="SHA-512" hashValue="kPCHlQV0ml59H56CQnaIxja4Vd2pVq1iJ41t1/pDNJZ5et/BlOpzq6vzj898nOO7jBz3XrdprENo6Nr0ci6cRw==" saltValue="zf+BeyY/3ytcnWZJhfxARw==" spinCount="100000" sheet="1" objects="1" scenarios="1"/>
  <pageMargins left="0.7" right="0.7" top="0.75" bottom="0.75" header="0.3" footer="0.3"/>
  <pageSetup paperSize="9" orientation="portrait" horizontalDpi="120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FE14C-B5EE-4F6D-85E2-CC857A30289C}">
  <sheetPr codeName="Sheet8"/>
  <dimension ref="B1:I76"/>
  <sheetViews>
    <sheetView topLeftCell="A5" workbookViewId="0">
      <selection activeCell="D68" sqref="D68"/>
    </sheetView>
  </sheetViews>
  <sheetFormatPr defaultColWidth="9.140625" defaultRowHeight="15"/>
  <cols>
    <col min="1" max="1" width="5.7109375" style="252" customWidth="1"/>
    <col min="2" max="2" width="10.85546875" style="284" bestFit="1" customWidth="1"/>
    <col min="3" max="3" width="2.42578125" style="252" hidden="1" customWidth="1"/>
    <col min="4" max="4" width="45.42578125" style="256" customWidth="1"/>
    <col min="5" max="5" width="10.28515625" style="310" customWidth="1"/>
    <col min="6" max="6" width="10.85546875" style="252" customWidth="1"/>
    <col min="7" max="7" width="9.5703125" style="310" bestFit="1" customWidth="1"/>
    <col min="8" max="16384" width="9.140625" style="252"/>
  </cols>
  <sheetData>
    <row r="1" spans="2:7" customFormat="1">
      <c r="D1" s="13"/>
    </row>
    <row r="2" spans="2:7" customFormat="1" ht="15.75">
      <c r="B2" s="251" t="s">
        <v>543</v>
      </c>
      <c r="D2" s="13"/>
    </row>
    <row r="3" spans="2:7" customFormat="1">
      <c r="D3" s="13"/>
    </row>
    <row r="4" spans="2:7" ht="19.5" thickBot="1">
      <c r="B4" s="271" t="s">
        <v>134</v>
      </c>
      <c r="C4" s="101"/>
      <c r="D4" s="293" t="s">
        <v>595</v>
      </c>
      <c r="E4" s="294" t="s">
        <v>561</v>
      </c>
      <c r="F4" s="107" t="s">
        <v>562</v>
      </c>
      <c r="G4" s="294" t="s">
        <v>578</v>
      </c>
    </row>
    <row r="5" spans="2:7" ht="33.75" customHeight="1">
      <c r="B5" s="273" t="s">
        <v>146</v>
      </c>
      <c r="C5" s="275"/>
      <c r="D5" s="295" t="s">
        <v>596</v>
      </c>
      <c r="E5" s="296">
        <v>2680</v>
      </c>
      <c r="F5" s="297"/>
      <c r="G5" s="276">
        <f>+CEILING((E5*F5),5)</f>
        <v>0</v>
      </c>
    </row>
    <row r="6" spans="2:7">
      <c r="B6" s="277" t="s">
        <v>597</v>
      </c>
      <c r="C6"/>
      <c r="D6" s="13" t="s">
        <v>598</v>
      </c>
      <c r="E6" s="289">
        <v>125</v>
      </c>
      <c r="G6" s="258">
        <f>+CEILING((E6*F6),5)</f>
        <v>0</v>
      </c>
    </row>
    <row r="7" spans="2:7">
      <c r="B7" s="277" t="s">
        <v>146</v>
      </c>
      <c r="C7"/>
      <c r="D7" s="13" t="s">
        <v>599</v>
      </c>
      <c r="E7" s="289">
        <v>1355</v>
      </c>
      <c r="F7" s="252">
        <v>1</v>
      </c>
      <c r="G7" s="258">
        <f t="shared" ref="G7:G12" si="0">+CEILING((E7*F7),5)</f>
        <v>1355</v>
      </c>
    </row>
    <row r="8" spans="2:7">
      <c r="B8" s="277" t="s">
        <v>146</v>
      </c>
      <c r="C8"/>
      <c r="D8" s="13" t="s">
        <v>600</v>
      </c>
      <c r="E8" s="289">
        <v>330</v>
      </c>
      <c r="G8" s="258">
        <f t="shared" si="0"/>
        <v>0</v>
      </c>
    </row>
    <row r="9" spans="2:7">
      <c r="B9" s="277" t="s">
        <v>146</v>
      </c>
      <c r="C9"/>
      <c r="D9" s="13" t="s">
        <v>601</v>
      </c>
      <c r="E9" s="289">
        <v>160</v>
      </c>
      <c r="G9" s="258">
        <f t="shared" si="0"/>
        <v>0</v>
      </c>
    </row>
    <row r="10" spans="2:7">
      <c r="B10" s="277" t="s">
        <v>146</v>
      </c>
      <c r="C10"/>
      <c r="D10" s="13" t="s">
        <v>602</v>
      </c>
      <c r="E10" s="289">
        <v>110</v>
      </c>
      <c r="G10" s="258">
        <f t="shared" si="0"/>
        <v>0</v>
      </c>
    </row>
    <row r="11" spans="2:7">
      <c r="B11" s="277" t="s">
        <v>597</v>
      </c>
      <c r="C11"/>
      <c r="D11" s="13" t="s">
        <v>1378</v>
      </c>
      <c r="E11" s="289">
        <v>50</v>
      </c>
      <c r="F11" s="252">
        <v>9</v>
      </c>
      <c r="G11" s="258">
        <f t="shared" si="0"/>
        <v>450</v>
      </c>
    </row>
    <row r="12" spans="2:7">
      <c r="B12" s="277" t="s">
        <v>597</v>
      </c>
      <c r="C12"/>
      <c r="D12" s="13" t="s">
        <v>1379</v>
      </c>
      <c r="E12" s="289">
        <v>65</v>
      </c>
      <c r="G12" s="258">
        <f t="shared" si="0"/>
        <v>0</v>
      </c>
    </row>
    <row r="13" spans="2:7">
      <c r="B13" s="277"/>
      <c r="C13"/>
      <c r="D13" s="13" t="s">
        <v>603</v>
      </c>
      <c r="E13" s="289" t="s">
        <v>236</v>
      </c>
      <c r="G13" s="258"/>
    </row>
    <row r="14" spans="2:7" ht="15.75" thickBot="1">
      <c r="B14" s="281"/>
      <c r="C14" s="268"/>
      <c r="D14" s="298"/>
      <c r="E14" s="299"/>
      <c r="F14" s="300" t="s">
        <v>568</v>
      </c>
      <c r="G14" s="292">
        <f>SUM(G5:G13)</f>
        <v>1805</v>
      </c>
    </row>
    <row r="15" spans="2:7" ht="19.5" thickBot="1">
      <c r="B15" s="301"/>
      <c r="C15"/>
      <c r="D15" s="293" t="s">
        <v>604</v>
      </c>
      <c r="E15" s="302"/>
      <c r="F15"/>
      <c r="G15" s="302"/>
    </row>
    <row r="16" spans="2:7">
      <c r="B16" s="273" t="s">
        <v>146</v>
      </c>
      <c r="C16" s="275"/>
      <c r="D16" s="295" t="s">
        <v>605</v>
      </c>
      <c r="E16" s="296">
        <v>1330</v>
      </c>
      <c r="F16" s="297"/>
      <c r="G16" s="258">
        <f t="shared" ref="G16:G29" si="1">+CEILING((E16*F16),5)</f>
        <v>0</v>
      </c>
    </row>
    <row r="17" spans="2:8" ht="30">
      <c r="B17" s="277" t="s">
        <v>146</v>
      </c>
      <c r="C17"/>
      <c r="D17" s="13" t="s">
        <v>606</v>
      </c>
      <c r="E17" s="289">
        <v>2545</v>
      </c>
      <c r="G17" s="258">
        <f t="shared" si="1"/>
        <v>0</v>
      </c>
    </row>
    <row r="18" spans="2:8">
      <c r="B18" s="277" t="s">
        <v>597</v>
      </c>
      <c r="C18"/>
      <c r="D18" s="13" t="s">
        <v>607</v>
      </c>
      <c r="E18" s="289">
        <v>140</v>
      </c>
      <c r="F18" s="252">
        <v>3</v>
      </c>
      <c r="G18" s="258">
        <f t="shared" si="1"/>
        <v>420</v>
      </c>
    </row>
    <row r="19" spans="2:8">
      <c r="B19" s="277" t="s">
        <v>597</v>
      </c>
      <c r="C19"/>
      <c r="D19" s="13" t="s">
        <v>608</v>
      </c>
      <c r="E19" s="289">
        <v>55</v>
      </c>
      <c r="F19" s="252">
        <v>66</v>
      </c>
      <c r="G19" s="258">
        <f t="shared" si="1"/>
        <v>3630</v>
      </c>
    </row>
    <row r="20" spans="2:8">
      <c r="B20" s="277" t="s">
        <v>597</v>
      </c>
      <c r="C20"/>
      <c r="D20" s="13" t="s">
        <v>1378</v>
      </c>
      <c r="E20" s="289">
        <f>+E11</f>
        <v>50</v>
      </c>
      <c r="F20" s="252">
        <v>15</v>
      </c>
      <c r="G20" s="258">
        <f t="shared" si="1"/>
        <v>750</v>
      </c>
    </row>
    <row r="21" spans="2:8">
      <c r="B21" s="277" t="s">
        <v>597</v>
      </c>
      <c r="C21"/>
      <c r="D21" s="13" t="s">
        <v>1379</v>
      </c>
      <c r="E21" s="289">
        <f>+E12</f>
        <v>65</v>
      </c>
      <c r="G21" s="258">
        <f t="shared" si="1"/>
        <v>0</v>
      </c>
    </row>
    <row r="22" spans="2:8">
      <c r="B22" s="277" t="s">
        <v>146</v>
      </c>
      <c r="C22"/>
      <c r="D22" s="13" t="s">
        <v>985</v>
      </c>
      <c r="E22" s="289">
        <v>135</v>
      </c>
      <c r="G22" s="258">
        <f t="shared" si="1"/>
        <v>0</v>
      </c>
    </row>
    <row r="23" spans="2:8">
      <c r="B23" s="277" t="s">
        <v>146</v>
      </c>
      <c r="C23"/>
      <c r="D23" s="13" t="s">
        <v>609</v>
      </c>
      <c r="E23" s="289">
        <v>235</v>
      </c>
      <c r="G23" s="258">
        <f t="shared" si="1"/>
        <v>0</v>
      </c>
    </row>
    <row r="24" spans="2:8">
      <c r="B24" s="277" t="s">
        <v>146</v>
      </c>
      <c r="C24"/>
      <c r="D24" s="13" t="s">
        <v>610</v>
      </c>
      <c r="E24" s="289">
        <v>510</v>
      </c>
      <c r="G24" s="258">
        <f t="shared" si="1"/>
        <v>0</v>
      </c>
    </row>
    <row r="25" spans="2:8">
      <c r="B25" s="277" t="s">
        <v>146</v>
      </c>
      <c r="C25"/>
      <c r="D25" s="13" t="s">
        <v>611</v>
      </c>
      <c r="E25" s="289">
        <v>530</v>
      </c>
      <c r="F25" s="252">
        <v>1</v>
      </c>
      <c r="G25" s="258">
        <f t="shared" si="1"/>
        <v>530</v>
      </c>
    </row>
    <row r="26" spans="2:8">
      <c r="B26" s="277" t="s">
        <v>597</v>
      </c>
      <c r="C26"/>
      <c r="D26" s="13" t="s">
        <v>612</v>
      </c>
      <c r="E26" s="289">
        <v>85</v>
      </c>
      <c r="F26" s="252">
        <v>14</v>
      </c>
      <c r="G26" s="258">
        <f t="shared" si="1"/>
        <v>1190</v>
      </c>
      <c r="H26" s="406">
        <f>SUM(G25:G26)</f>
        <v>1720</v>
      </c>
    </row>
    <row r="27" spans="2:8" ht="30">
      <c r="B27" s="277" t="s">
        <v>146</v>
      </c>
      <c r="C27"/>
      <c r="D27" s="13" t="s">
        <v>613</v>
      </c>
      <c r="E27" s="289">
        <v>1100</v>
      </c>
      <c r="F27" s="252">
        <v>1</v>
      </c>
      <c r="G27" s="258">
        <f t="shared" si="1"/>
        <v>1100</v>
      </c>
    </row>
    <row r="28" spans="2:8">
      <c r="B28" s="277" t="s">
        <v>597</v>
      </c>
      <c r="C28"/>
      <c r="D28" s="13" t="s">
        <v>614</v>
      </c>
      <c r="E28" s="289">
        <v>140</v>
      </c>
      <c r="F28" s="252">
        <v>4</v>
      </c>
      <c r="G28" s="258">
        <f t="shared" si="1"/>
        <v>560</v>
      </c>
    </row>
    <row r="29" spans="2:8" ht="30">
      <c r="B29" s="277" t="s">
        <v>146</v>
      </c>
      <c r="C29"/>
      <c r="D29" s="13" t="s">
        <v>615</v>
      </c>
      <c r="E29" s="289">
        <f>+E27</f>
        <v>1100</v>
      </c>
      <c r="G29" s="258">
        <f t="shared" si="1"/>
        <v>0</v>
      </c>
    </row>
    <row r="30" spans="2:8" ht="15.75" thickBot="1">
      <c r="B30" s="281"/>
      <c r="C30" s="268"/>
      <c r="D30" s="298"/>
      <c r="E30" s="299"/>
      <c r="F30" s="300" t="s">
        <v>568</v>
      </c>
      <c r="G30" s="292">
        <f>SUM(G16:G29)</f>
        <v>8180</v>
      </c>
    </row>
    <row r="31" spans="2:8" ht="19.5" thickBot="1">
      <c r="B31" s="301"/>
      <c r="C31"/>
      <c r="D31" s="293" t="s">
        <v>616</v>
      </c>
      <c r="E31" s="302"/>
      <c r="F31"/>
      <c r="G31" s="302"/>
    </row>
    <row r="32" spans="2:8">
      <c r="B32" s="273"/>
      <c r="C32" s="275"/>
      <c r="D32" s="303" t="s">
        <v>617</v>
      </c>
      <c r="E32" s="296"/>
      <c r="F32" s="275"/>
      <c r="G32" s="276"/>
    </row>
    <row r="33" spans="2:9">
      <c r="B33" s="277" t="s">
        <v>146</v>
      </c>
      <c r="C33"/>
      <c r="D33" s="13" t="s">
        <v>618</v>
      </c>
      <c r="E33" s="289">
        <v>870</v>
      </c>
      <c r="F33" s="252">
        <v>1</v>
      </c>
      <c r="G33" s="258">
        <f t="shared" ref="G33:G42" si="2">+CEILING((E33*F33),5)</f>
        <v>870</v>
      </c>
    </row>
    <row r="34" spans="2:9">
      <c r="B34" s="277" t="s">
        <v>597</v>
      </c>
      <c r="C34"/>
      <c r="D34" s="13" t="s">
        <v>619</v>
      </c>
      <c r="E34" s="289">
        <v>95</v>
      </c>
      <c r="F34" s="252">
        <v>23</v>
      </c>
      <c r="G34" s="258">
        <f t="shared" si="2"/>
        <v>2185</v>
      </c>
    </row>
    <row r="35" spans="2:9" ht="30">
      <c r="B35" s="277" t="s">
        <v>146</v>
      </c>
      <c r="C35" s="304"/>
      <c r="D35" s="13" t="s">
        <v>620</v>
      </c>
      <c r="E35" s="289">
        <v>1360</v>
      </c>
      <c r="G35" s="258">
        <f t="shared" si="2"/>
        <v>0</v>
      </c>
      <c r="I35" s="252">
        <v>2820</v>
      </c>
    </row>
    <row r="36" spans="2:9">
      <c r="B36" s="277" t="s">
        <v>146</v>
      </c>
      <c r="C36"/>
      <c r="D36" s="13" t="s">
        <v>621</v>
      </c>
      <c r="E36" s="289">
        <v>1080</v>
      </c>
      <c r="G36" s="258">
        <f t="shared" si="2"/>
        <v>0</v>
      </c>
    </row>
    <row r="37" spans="2:9">
      <c r="B37" s="277" t="s">
        <v>146</v>
      </c>
      <c r="C37" s="304"/>
      <c r="D37" s="13" t="s">
        <v>622</v>
      </c>
      <c r="E37" s="289">
        <f>+E27</f>
        <v>1100</v>
      </c>
      <c r="G37" s="258">
        <f t="shared" si="2"/>
        <v>0</v>
      </c>
    </row>
    <row r="38" spans="2:9">
      <c r="B38" s="277" t="s">
        <v>597</v>
      </c>
      <c r="C38" s="304"/>
      <c r="D38" s="13" t="s">
        <v>623</v>
      </c>
      <c r="E38" s="289">
        <f>+E28</f>
        <v>140</v>
      </c>
      <c r="G38" s="258">
        <f t="shared" si="2"/>
        <v>0</v>
      </c>
    </row>
    <row r="39" spans="2:9" ht="30">
      <c r="B39" s="277" t="s">
        <v>597</v>
      </c>
      <c r="C39" s="304"/>
      <c r="D39" s="13" t="s">
        <v>1380</v>
      </c>
      <c r="E39" s="289">
        <f>+E11</f>
        <v>50</v>
      </c>
      <c r="G39" s="258">
        <f t="shared" si="2"/>
        <v>0</v>
      </c>
    </row>
    <row r="40" spans="2:9" ht="30">
      <c r="B40" s="277" t="s">
        <v>597</v>
      </c>
      <c r="C40" s="304"/>
      <c r="D40" s="13" t="s">
        <v>1381</v>
      </c>
      <c r="E40" s="289">
        <f>+E12</f>
        <v>65</v>
      </c>
      <c r="G40" s="258">
        <f t="shared" si="2"/>
        <v>0</v>
      </c>
    </row>
    <row r="41" spans="2:9">
      <c r="B41" s="277" t="s">
        <v>146</v>
      </c>
      <c r="C41" s="304"/>
      <c r="D41" s="13" t="s">
        <v>624</v>
      </c>
      <c r="E41" s="289">
        <v>395</v>
      </c>
      <c r="G41" s="258">
        <f t="shared" si="2"/>
        <v>0</v>
      </c>
    </row>
    <row r="42" spans="2:9" ht="15" customHeight="1">
      <c r="B42" s="277" t="s">
        <v>146</v>
      </c>
      <c r="C42" s="304"/>
      <c r="D42" s="13" t="s">
        <v>1382</v>
      </c>
      <c r="E42" s="289">
        <v>740</v>
      </c>
      <c r="G42" s="258">
        <f t="shared" si="2"/>
        <v>0</v>
      </c>
    </row>
    <row r="43" spans="2:9">
      <c r="B43" s="277"/>
      <c r="C43"/>
      <c r="D43" s="305"/>
      <c r="E43" s="289"/>
      <c r="F43" s="18" t="s">
        <v>568</v>
      </c>
      <c r="G43" s="291">
        <f>SUM(G33:G42)</f>
        <v>3055</v>
      </c>
    </row>
    <row r="44" spans="2:9">
      <c r="B44" s="277"/>
      <c r="C44"/>
      <c r="D44" s="306" t="s">
        <v>625</v>
      </c>
      <c r="E44" s="289"/>
      <c r="F44"/>
      <c r="G44" s="258"/>
    </row>
    <row r="45" spans="2:9">
      <c r="B45" s="277" t="s">
        <v>146</v>
      </c>
      <c r="C45"/>
      <c r="D45" s="13" t="s">
        <v>626</v>
      </c>
      <c r="E45" s="289">
        <v>495</v>
      </c>
      <c r="F45" s="252">
        <v>5</v>
      </c>
      <c r="G45" s="258">
        <f t="shared" ref="G45:G49" si="3">+CEILING((E45*F45),5)</f>
        <v>2475</v>
      </c>
    </row>
    <row r="46" spans="2:9">
      <c r="B46" s="277" t="s">
        <v>597</v>
      </c>
      <c r="C46"/>
      <c r="D46" s="13" t="s">
        <v>627</v>
      </c>
      <c r="E46" s="289">
        <v>85</v>
      </c>
      <c r="F46" s="252">
        <v>5</v>
      </c>
      <c r="G46" s="258">
        <f t="shared" si="3"/>
        <v>425</v>
      </c>
    </row>
    <row r="47" spans="2:9">
      <c r="B47" s="277" t="s">
        <v>146</v>
      </c>
      <c r="C47"/>
      <c r="D47" s="13" t="s">
        <v>628</v>
      </c>
      <c r="E47" s="289">
        <v>685</v>
      </c>
      <c r="G47" s="258">
        <f t="shared" si="3"/>
        <v>0</v>
      </c>
    </row>
    <row r="48" spans="2:9">
      <c r="B48" s="277" t="s">
        <v>597</v>
      </c>
      <c r="C48"/>
      <c r="D48" s="13" t="s">
        <v>629</v>
      </c>
      <c r="E48" s="289">
        <v>80</v>
      </c>
      <c r="G48" s="258">
        <f t="shared" si="3"/>
        <v>0</v>
      </c>
    </row>
    <row r="49" spans="2:7">
      <c r="B49" s="277" t="s">
        <v>146</v>
      </c>
      <c r="C49" s="304"/>
      <c r="D49" s="13" t="s">
        <v>630</v>
      </c>
      <c r="E49" s="289">
        <v>195</v>
      </c>
      <c r="G49" s="258">
        <f t="shared" si="3"/>
        <v>0</v>
      </c>
    </row>
    <row r="50" spans="2:7">
      <c r="B50" s="277"/>
      <c r="C50"/>
      <c r="D50" s="305"/>
      <c r="E50" s="289"/>
      <c r="F50" s="18" t="s">
        <v>568</v>
      </c>
      <c r="G50" s="291">
        <f>SUM(G45:G49)</f>
        <v>2900</v>
      </c>
    </row>
    <row r="51" spans="2:7">
      <c r="B51" s="277"/>
      <c r="C51"/>
      <c r="D51" s="306" t="s">
        <v>631</v>
      </c>
      <c r="E51" s="289"/>
      <c r="F51"/>
      <c r="G51" s="258"/>
    </row>
    <row r="52" spans="2:7">
      <c r="B52" s="277" t="s">
        <v>146</v>
      </c>
      <c r="C52"/>
      <c r="D52" s="13" t="s">
        <v>632</v>
      </c>
      <c r="E52" s="289">
        <v>885</v>
      </c>
      <c r="G52" s="258">
        <f t="shared" ref="G52:G58" si="4">+E52*F52</f>
        <v>0</v>
      </c>
    </row>
    <row r="53" spans="2:7" ht="15" customHeight="1">
      <c r="B53" s="277" t="s">
        <v>597</v>
      </c>
      <c r="C53"/>
      <c r="D53" s="13" t="s">
        <v>633</v>
      </c>
      <c r="E53" s="289">
        <v>90</v>
      </c>
      <c r="F53" s="252">
        <v>3</v>
      </c>
      <c r="G53" s="258">
        <f t="shared" si="4"/>
        <v>270</v>
      </c>
    </row>
    <row r="54" spans="2:7" ht="30">
      <c r="B54" s="277" t="s">
        <v>597</v>
      </c>
      <c r="C54"/>
      <c r="D54" s="13" t="s">
        <v>634</v>
      </c>
      <c r="E54" s="289">
        <v>45</v>
      </c>
      <c r="G54" s="258">
        <f t="shared" si="4"/>
        <v>0</v>
      </c>
    </row>
    <row r="55" spans="2:7" ht="30">
      <c r="B55" s="277" t="s">
        <v>597</v>
      </c>
      <c r="C55" s="304"/>
      <c r="D55" s="13" t="s">
        <v>1383</v>
      </c>
      <c r="E55" s="289">
        <v>75</v>
      </c>
      <c r="G55" s="258">
        <f t="shared" si="4"/>
        <v>0</v>
      </c>
    </row>
    <row r="56" spans="2:7" ht="30">
      <c r="B56" s="277" t="s">
        <v>597</v>
      </c>
      <c r="C56" s="304"/>
      <c r="D56" s="13" t="s">
        <v>1384</v>
      </c>
      <c r="E56" s="289">
        <v>95</v>
      </c>
      <c r="F56" s="252">
        <v>30</v>
      </c>
      <c r="G56" s="258">
        <f t="shared" si="4"/>
        <v>2850</v>
      </c>
    </row>
    <row r="57" spans="2:7">
      <c r="B57" s="277" t="s">
        <v>146</v>
      </c>
      <c r="C57" s="304"/>
      <c r="D57" s="13" t="s">
        <v>1385</v>
      </c>
      <c r="E57" s="289">
        <v>740</v>
      </c>
      <c r="G57" s="258">
        <f t="shared" si="4"/>
        <v>0</v>
      </c>
    </row>
    <row r="58" spans="2:7">
      <c r="B58" s="277" t="s">
        <v>146</v>
      </c>
      <c r="C58" s="304"/>
      <c r="D58" s="13" t="s">
        <v>1386</v>
      </c>
      <c r="E58" s="289">
        <v>860</v>
      </c>
      <c r="F58" s="252">
        <v>2</v>
      </c>
      <c r="G58" s="258">
        <f t="shared" si="4"/>
        <v>1720</v>
      </c>
    </row>
    <row r="59" spans="2:7">
      <c r="B59" s="277" t="s">
        <v>146</v>
      </c>
      <c r="C59" s="304"/>
      <c r="D59" s="13" t="s">
        <v>635</v>
      </c>
      <c r="E59" s="289">
        <f>+E41</f>
        <v>395</v>
      </c>
      <c r="G59" s="258">
        <f>+CEILING((E59*F59),5)</f>
        <v>0</v>
      </c>
    </row>
    <row r="60" spans="2:7">
      <c r="B60" s="277"/>
      <c r="C60"/>
      <c r="D60" s="305"/>
      <c r="E60" s="289"/>
      <c r="F60" s="18" t="s">
        <v>568</v>
      </c>
      <c r="G60" s="291">
        <f>SUM(G52:G59)</f>
        <v>4840</v>
      </c>
    </row>
    <row r="61" spans="2:7">
      <c r="B61" s="277"/>
      <c r="C61"/>
      <c r="D61" s="306" t="s">
        <v>636</v>
      </c>
      <c r="E61" s="289"/>
      <c r="F61"/>
      <c r="G61" s="258"/>
    </row>
    <row r="62" spans="2:7">
      <c r="B62" s="277" t="s">
        <v>146</v>
      </c>
      <c r="C62" s="304"/>
      <c r="D62" s="13" t="s">
        <v>637</v>
      </c>
      <c r="E62" s="289">
        <v>250</v>
      </c>
      <c r="G62" s="258">
        <f t="shared" ref="G62:G70" si="5">+CEILING((E62*F62),5)</f>
        <v>0</v>
      </c>
    </row>
    <row r="63" spans="2:7">
      <c r="B63" s="277" t="s">
        <v>146</v>
      </c>
      <c r="C63" s="304"/>
      <c r="D63" s="13" t="s">
        <v>638</v>
      </c>
      <c r="E63" s="289">
        <v>195</v>
      </c>
      <c r="G63" s="258">
        <f t="shared" si="5"/>
        <v>0</v>
      </c>
    </row>
    <row r="64" spans="2:7">
      <c r="B64" s="277" t="s">
        <v>146</v>
      </c>
      <c r="C64" s="304"/>
      <c r="D64" s="13" t="s">
        <v>639</v>
      </c>
      <c r="E64" s="289">
        <v>425</v>
      </c>
      <c r="G64" s="258">
        <f t="shared" si="5"/>
        <v>0</v>
      </c>
    </row>
    <row r="65" spans="2:7" ht="30">
      <c r="B65" s="277" t="s">
        <v>146</v>
      </c>
      <c r="C65" s="304"/>
      <c r="D65" s="13" t="s">
        <v>640</v>
      </c>
      <c r="E65" s="289">
        <v>415</v>
      </c>
      <c r="G65" s="258">
        <f t="shared" si="5"/>
        <v>0</v>
      </c>
    </row>
    <row r="66" spans="2:7">
      <c r="B66" s="277" t="s">
        <v>146</v>
      </c>
      <c r="C66"/>
      <c r="D66" s="13" t="s">
        <v>641</v>
      </c>
      <c r="E66" s="289">
        <f>+E8</f>
        <v>330</v>
      </c>
      <c r="F66" s="252">
        <v>3</v>
      </c>
      <c r="G66" s="258">
        <f t="shared" si="5"/>
        <v>990</v>
      </c>
    </row>
    <row r="67" spans="2:7">
      <c r="B67" s="277" t="s">
        <v>146</v>
      </c>
      <c r="C67" s="304"/>
      <c r="D67" s="13" t="s">
        <v>642</v>
      </c>
      <c r="E67" s="289">
        <v>195</v>
      </c>
      <c r="G67" s="258">
        <f t="shared" si="5"/>
        <v>0</v>
      </c>
    </row>
    <row r="68" spans="2:7">
      <c r="B68" s="277" t="s">
        <v>564</v>
      </c>
      <c r="C68" s="304"/>
      <c r="D68" s="13" t="s">
        <v>643</v>
      </c>
      <c r="E68" s="289">
        <v>7</v>
      </c>
      <c r="G68" s="258">
        <f t="shared" si="5"/>
        <v>0</v>
      </c>
    </row>
    <row r="69" spans="2:7">
      <c r="B69" s="277" t="s">
        <v>146</v>
      </c>
      <c r="C69"/>
      <c r="D69" s="13" t="s">
        <v>644</v>
      </c>
      <c r="E69" s="289">
        <v>1535</v>
      </c>
      <c r="G69" s="258">
        <f t="shared" si="5"/>
        <v>0</v>
      </c>
    </row>
    <row r="70" spans="2:7" ht="15" customHeight="1">
      <c r="B70" s="277" t="s">
        <v>146</v>
      </c>
      <c r="C70"/>
      <c r="D70" s="13" t="s">
        <v>645</v>
      </c>
      <c r="E70" s="289">
        <v>1725</v>
      </c>
      <c r="G70" s="258">
        <f t="shared" si="5"/>
        <v>0</v>
      </c>
    </row>
    <row r="71" spans="2:7">
      <c r="B71" s="277"/>
      <c r="C71"/>
      <c r="D71" s="13"/>
      <c r="E71" s="289"/>
      <c r="F71" s="18" t="s">
        <v>568</v>
      </c>
      <c r="G71" s="291">
        <f>SUM(G62:G70)</f>
        <v>990</v>
      </c>
    </row>
    <row r="72" spans="2:7">
      <c r="B72" s="277"/>
      <c r="C72"/>
      <c r="D72" s="306" t="s">
        <v>646</v>
      </c>
      <c r="E72" s="289"/>
      <c r="F72"/>
      <c r="G72" s="258"/>
    </row>
    <row r="73" spans="2:7" ht="30">
      <c r="B73" s="277" t="s">
        <v>597</v>
      </c>
      <c r="C73"/>
      <c r="D73" s="13" t="s">
        <v>647</v>
      </c>
      <c r="E73" s="289">
        <v>60</v>
      </c>
      <c r="G73" s="258">
        <f>+E73*F73</f>
        <v>0</v>
      </c>
    </row>
    <row r="74" spans="2:7">
      <c r="B74" s="277" t="s">
        <v>146</v>
      </c>
      <c r="C74"/>
      <c r="D74" s="13" t="s">
        <v>648</v>
      </c>
      <c r="E74" s="289">
        <v>80</v>
      </c>
      <c r="G74" s="258">
        <f>+E74*F74</f>
        <v>0</v>
      </c>
    </row>
    <row r="75" spans="2:7">
      <c r="B75" s="277"/>
      <c r="C75"/>
      <c r="D75" s="13"/>
      <c r="E75" s="289"/>
      <c r="F75" s="18" t="s">
        <v>568</v>
      </c>
      <c r="G75" s="307">
        <f>SUM(G73:G74)</f>
        <v>0</v>
      </c>
    </row>
    <row r="76" spans="2:7" ht="15.75" thickBot="1">
      <c r="B76" s="281"/>
      <c r="C76" s="268"/>
      <c r="D76" s="298"/>
      <c r="E76" s="299"/>
      <c r="F76" s="308" t="s">
        <v>576</v>
      </c>
      <c r="G76" s="309">
        <f>+G75+G71+G60+G50+G43+G30+G14</f>
        <v>21770</v>
      </c>
    </row>
  </sheetData>
  <pageMargins left="0.7" right="0.7" top="0.75" bottom="0.75" header="0.3" footer="0.3"/>
  <pageSetup paperSize="9" orientation="portrait" horizontalDpi="120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C1A5A-2C17-4B06-A403-320143AA9A05}">
  <sheetPr codeName="Sheet9"/>
  <dimension ref="B1:F24"/>
  <sheetViews>
    <sheetView topLeftCell="A3" workbookViewId="0">
      <selection activeCell="C20" sqref="C20:C23"/>
    </sheetView>
  </sheetViews>
  <sheetFormatPr defaultColWidth="9.140625" defaultRowHeight="15"/>
  <cols>
    <col min="1" max="1" width="5.7109375" style="252" customWidth="1"/>
    <col min="2" max="2" width="9.140625" style="284"/>
    <col min="3" max="3" width="35.28515625" style="252" bestFit="1" customWidth="1"/>
    <col min="4" max="4" width="9.7109375" style="252" customWidth="1"/>
    <col min="5" max="5" width="11.28515625" style="252" bestFit="1" customWidth="1"/>
    <col min="6" max="6" width="10.5703125" style="252" bestFit="1" customWidth="1"/>
    <col min="7" max="16384" width="9.140625" style="252"/>
  </cols>
  <sheetData>
    <row r="1" spans="2:6" ht="18.75">
      <c r="B1" s="271" t="s">
        <v>134</v>
      </c>
      <c r="C1" s="311" t="s">
        <v>649</v>
      </c>
      <c r="D1" s="294" t="s">
        <v>561</v>
      </c>
      <c r="E1" s="107" t="s">
        <v>562</v>
      </c>
      <c r="F1" s="294" t="s">
        <v>578</v>
      </c>
    </row>
    <row r="2" spans="2:6" ht="19.5" thickBot="1">
      <c r="B2" s="271"/>
      <c r="C2" s="311" t="s">
        <v>650</v>
      </c>
      <c r="D2" s="294"/>
      <c r="E2" s="107"/>
      <c r="F2" s="294"/>
    </row>
    <row r="3" spans="2:6">
      <c r="B3" s="273" t="s">
        <v>146</v>
      </c>
      <c r="C3" s="275" t="s">
        <v>651</v>
      </c>
      <c r="D3" s="296">
        <v>1050</v>
      </c>
      <c r="E3" s="297"/>
      <c r="F3" s="276">
        <f>+E3*D3</f>
        <v>0</v>
      </c>
    </row>
    <row r="4" spans="2:6">
      <c r="B4" s="277" t="s">
        <v>146</v>
      </c>
      <c r="C4" t="s">
        <v>652</v>
      </c>
      <c r="D4" s="289">
        <v>830</v>
      </c>
      <c r="F4" s="258">
        <f t="shared" ref="F4:F17" si="0">+E4*D4</f>
        <v>0</v>
      </c>
    </row>
    <row r="5" spans="2:6">
      <c r="B5" s="277" t="s">
        <v>146</v>
      </c>
      <c r="C5" t="s">
        <v>653</v>
      </c>
      <c r="D5" s="289">
        <v>895</v>
      </c>
      <c r="F5" s="258">
        <f t="shared" si="0"/>
        <v>0</v>
      </c>
    </row>
    <row r="6" spans="2:6">
      <c r="B6" s="277" t="s">
        <v>146</v>
      </c>
      <c r="C6" t="s">
        <v>654</v>
      </c>
      <c r="D6" s="289">
        <v>1040</v>
      </c>
      <c r="F6" s="258">
        <f t="shared" si="0"/>
        <v>0</v>
      </c>
    </row>
    <row r="7" spans="2:6">
      <c r="B7" s="277" t="s">
        <v>146</v>
      </c>
      <c r="C7" t="s">
        <v>655</v>
      </c>
      <c r="D7" s="289">
        <v>970</v>
      </c>
      <c r="F7" s="258">
        <f t="shared" si="0"/>
        <v>0</v>
      </c>
    </row>
    <row r="8" spans="2:6">
      <c r="B8" s="277" t="s">
        <v>146</v>
      </c>
      <c r="C8" t="s">
        <v>656</v>
      </c>
      <c r="D8" s="289">
        <v>1050</v>
      </c>
      <c r="F8" s="258">
        <f t="shared" si="0"/>
        <v>0</v>
      </c>
    </row>
    <row r="9" spans="2:6">
      <c r="B9" s="277" t="s">
        <v>146</v>
      </c>
      <c r="C9" t="s">
        <v>995</v>
      </c>
      <c r="D9" s="289">
        <v>300</v>
      </c>
      <c r="F9" s="258">
        <f t="shared" si="0"/>
        <v>0</v>
      </c>
    </row>
    <row r="10" spans="2:6">
      <c r="B10" s="277"/>
      <c r="C10"/>
      <c r="D10" s="289"/>
      <c r="E10"/>
      <c r="F10" s="258"/>
    </row>
    <row r="11" spans="2:6">
      <c r="B11" s="277" t="s">
        <v>146</v>
      </c>
      <c r="C11" t="s">
        <v>657</v>
      </c>
      <c r="D11" s="289">
        <v>2235</v>
      </c>
      <c r="F11" s="258">
        <f t="shared" si="0"/>
        <v>0</v>
      </c>
    </row>
    <row r="12" spans="2:6">
      <c r="B12" s="277" t="s">
        <v>146</v>
      </c>
      <c r="C12" t="s">
        <v>658</v>
      </c>
      <c r="D12" s="289">
        <v>1000</v>
      </c>
      <c r="F12" s="258">
        <f t="shared" si="0"/>
        <v>0</v>
      </c>
    </row>
    <row r="13" spans="2:6">
      <c r="B13" s="277" t="s">
        <v>146</v>
      </c>
      <c r="C13" t="s">
        <v>1437</v>
      </c>
      <c r="D13" s="289">
        <v>1060</v>
      </c>
      <c r="F13" s="258">
        <f t="shared" si="0"/>
        <v>0</v>
      </c>
    </row>
    <row r="14" spans="2:6">
      <c r="B14" s="277" t="s">
        <v>146</v>
      </c>
      <c r="C14" t="s">
        <v>659</v>
      </c>
      <c r="D14" s="289">
        <v>1300</v>
      </c>
      <c r="F14" s="258">
        <f t="shared" si="0"/>
        <v>0</v>
      </c>
    </row>
    <row r="15" spans="2:6">
      <c r="B15" s="277" t="s">
        <v>146</v>
      </c>
      <c r="C15" t="s">
        <v>660</v>
      </c>
      <c r="D15" s="289">
        <v>1035</v>
      </c>
      <c r="F15" s="258">
        <f t="shared" si="0"/>
        <v>0</v>
      </c>
    </row>
    <row r="16" spans="2:6">
      <c r="B16" s="277" t="s">
        <v>146</v>
      </c>
      <c r="C16" t="s">
        <v>661</v>
      </c>
      <c r="D16" s="289">
        <v>970</v>
      </c>
      <c r="F16" s="258">
        <f t="shared" si="0"/>
        <v>0</v>
      </c>
    </row>
    <row r="17" spans="2:6">
      <c r="B17" s="277" t="s">
        <v>146</v>
      </c>
      <c r="C17" t="s">
        <v>662</v>
      </c>
      <c r="D17" s="289">
        <v>3060</v>
      </c>
      <c r="F17" s="258">
        <f t="shared" si="0"/>
        <v>0</v>
      </c>
    </row>
    <row r="18" spans="2:6">
      <c r="B18" s="277"/>
      <c r="C18"/>
      <c r="D18"/>
      <c r="E18" s="312" t="s">
        <v>173</v>
      </c>
      <c r="F18" s="279">
        <f>SUM(F3:F17)</f>
        <v>0</v>
      </c>
    </row>
    <row r="19" spans="2:6" ht="18.75">
      <c r="B19" s="277"/>
      <c r="C19" s="311" t="s">
        <v>663</v>
      </c>
      <c r="D19"/>
      <c r="E19"/>
      <c r="F19" s="261"/>
    </row>
    <row r="20" spans="2:6">
      <c r="B20" s="277" t="s">
        <v>146</v>
      </c>
      <c r="C20" t="s">
        <v>651</v>
      </c>
      <c r="D20" s="289">
        <v>-615</v>
      </c>
      <c r="E20" s="252">
        <v>1</v>
      </c>
      <c r="F20" s="258">
        <f>+E20*D20</f>
        <v>-615</v>
      </c>
    </row>
    <row r="21" spans="2:6">
      <c r="B21" s="277" t="s">
        <v>146</v>
      </c>
      <c r="C21" t="s">
        <v>652</v>
      </c>
      <c r="D21" s="289">
        <v>-430</v>
      </c>
      <c r="E21" s="252">
        <v>1</v>
      </c>
      <c r="F21" s="258">
        <f>+E21*D21</f>
        <v>-430</v>
      </c>
    </row>
    <row r="22" spans="2:6">
      <c r="B22" s="277" t="s">
        <v>146</v>
      </c>
      <c r="C22" t="s">
        <v>653</v>
      </c>
      <c r="D22" s="289">
        <v>-145</v>
      </c>
      <c r="E22" s="252">
        <v>1</v>
      </c>
      <c r="F22" s="258">
        <f>+E22*D22</f>
        <v>-145</v>
      </c>
    </row>
    <row r="23" spans="2:6">
      <c r="B23" s="277" t="s">
        <v>146</v>
      </c>
      <c r="C23" t="s">
        <v>656</v>
      </c>
      <c r="D23" s="289">
        <v>-690</v>
      </c>
      <c r="E23" s="252">
        <v>1</v>
      </c>
      <c r="F23" s="258">
        <f>+E23*D23</f>
        <v>-690</v>
      </c>
    </row>
    <row r="24" spans="2:6" ht="15.75" thickBot="1">
      <c r="B24" s="281"/>
      <c r="C24" s="268"/>
      <c r="D24" s="268"/>
      <c r="E24" s="282" t="s">
        <v>173</v>
      </c>
      <c r="F24" s="292">
        <f>SUM(F20:F23)</f>
        <v>-1880</v>
      </c>
    </row>
  </sheetData>
  <sheetProtection algorithmName="SHA-512" hashValue="Dt6JONYjv5qKf9BJ7aIw8gmJYYgV4JHyp89seVq4s8Cgr9grqZkeu5xP763QLBfDqOAVCWiAFUgYzu1DXcCCUQ==" saltValue="r9Aer9WPdDu7RQgdvBb3Og==" spinCount="100000" sheet="1" objects="1" scenarios="1"/>
  <pageMargins left="0.7" right="0.7" top="0.75" bottom="0.75" header="0.3" footer="0.3"/>
  <pageSetup paperSize="9" orientation="portrait" horizontalDpi="120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3EFD7-6F1B-482A-A2F4-283AA568F110}">
  <dimension ref="B1:F22"/>
  <sheetViews>
    <sheetView workbookViewId="0">
      <selection activeCell="C7" sqref="C7"/>
    </sheetView>
  </sheetViews>
  <sheetFormatPr defaultColWidth="9.140625" defaultRowHeight="15"/>
  <cols>
    <col min="1" max="1" width="9.140625" style="252"/>
    <col min="2" max="2" width="13.5703125" style="375" customWidth="1"/>
    <col min="3" max="3" width="39.85546875" style="256" customWidth="1"/>
    <col min="4" max="4" width="10.85546875" style="252" bestFit="1" customWidth="1"/>
    <col min="5" max="5" width="11.28515625" style="252" bestFit="1" customWidth="1"/>
    <col min="6" max="16384" width="9.140625" style="252"/>
  </cols>
  <sheetData>
    <row r="1" spans="2:6" customFormat="1">
      <c r="B1" s="21"/>
    </row>
    <row r="2" spans="2:6" customFormat="1" ht="15.75">
      <c r="B2" s="543" t="s">
        <v>543</v>
      </c>
    </row>
    <row r="3" spans="2:6" customFormat="1">
      <c r="B3" s="21"/>
    </row>
    <row r="4" spans="2:6" ht="19.5" thickBot="1">
      <c r="B4" s="362" t="s">
        <v>134</v>
      </c>
      <c r="C4" s="311" t="s">
        <v>1454</v>
      </c>
      <c r="D4" s="294" t="s">
        <v>561</v>
      </c>
      <c r="E4" s="107" t="s">
        <v>562</v>
      </c>
      <c r="F4" s="294" t="s">
        <v>578</v>
      </c>
    </row>
    <row r="5" spans="2:6" ht="30">
      <c r="B5" s="364" t="s">
        <v>146</v>
      </c>
      <c r="C5" s="295" t="s">
        <v>1334</v>
      </c>
      <c r="D5" s="296">
        <v>3530</v>
      </c>
      <c r="E5" s="297"/>
      <c r="F5" s="276">
        <f>+E5*D5</f>
        <v>0</v>
      </c>
    </row>
    <row r="6" spans="2:6" ht="30">
      <c r="B6" s="367" t="s">
        <v>146</v>
      </c>
      <c r="C6" s="13" t="s">
        <v>1335</v>
      </c>
      <c r="D6" s="289">
        <v>3765</v>
      </c>
      <c r="F6" s="258">
        <f t="shared" ref="F6:F10" si="0">+E6*D6</f>
        <v>0</v>
      </c>
    </row>
    <row r="7" spans="2:6" ht="30">
      <c r="B7" s="367" t="s">
        <v>597</v>
      </c>
      <c r="C7" s="13" t="s">
        <v>1458</v>
      </c>
      <c r="D7" s="289">
        <v>150</v>
      </c>
      <c r="E7" s="252">
        <v>10</v>
      </c>
      <c r="F7" s="258">
        <f t="shared" si="0"/>
        <v>1500</v>
      </c>
    </row>
    <row r="8" spans="2:6" ht="30">
      <c r="B8" s="367" t="s">
        <v>146</v>
      </c>
      <c r="C8" s="13" t="s">
        <v>1637</v>
      </c>
      <c r="D8" s="289">
        <v>940</v>
      </c>
      <c r="F8" s="258">
        <f t="shared" si="0"/>
        <v>0</v>
      </c>
    </row>
    <row r="9" spans="2:6">
      <c r="B9" s="367" t="s">
        <v>146</v>
      </c>
      <c r="C9" s="13" t="s">
        <v>1638</v>
      </c>
      <c r="D9" s="289">
        <v>150</v>
      </c>
      <c r="F9" s="258">
        <f t="shared" si="0"/>
        <v>0</v>
      </c>
    </row>
    <row r="10" spans="2:6">
      <c r="B10" s="367" t="s">
        <v>146</v>
      </c>
      <c r="C10" s="13" t="s">
        <v>664</v>
      </c>
      <c r="D10" s="289">
        <v>400</v>
      </c>
      <c r="F10" s="544">
        <f t="shared" si="0"/>
        <v>0</v>
      </c>
    </row>
    <row r="11" spans="2:6" ht="15.75" thickBot="1">
      <c r="B11" s="372"/>
      <c r="C11" s="298"/>
      <c r="D11" s="268"/>
      <c r="E11" s="300" t="s">
        <v>173</v>
      </c>
      <c r="F11" s="313">
        <f>SUM(F5:F10)</f>
        <v>1500</v>
      </c>
    </row>
    <row r="13" spans="2:6" ht="19.5" thickBot="1">
      <c r="B13" s="362" t="s">
        <v>134</v>
      </c>
      <c r="C13" s="311" t="s">
        <v>1455</v>
      </c>
      <c r="D13" s="294" t="s">
        <v>561</v>
      </c>
      <c r="E13" s="107" t="s">
        <v>562</v>
      </c>
      <c r="F13" s="294" t="s">
        <v>578</v>
      </c>
    </row>
    <row r="14" spans="2:6" ht="30">
      <c r="B14" s="364" t="s">
        <v>1453</v>
      </c>
      <c r="C14" s="295" t="s">
        <v>1456</v>
      </c>
      <c r="D14" s="296">
        <v>3000</v>
      </c>
      <c r="E14" s="297"/>
      <c r="F14" s="545">
        <f t="shared" ref="F14" si="1">+E14*D14</f>
        <v>0</v>
      </c>
    </row>
    <row r="15" spans="2:6" ht="15.75" thickBot="1">
      <c r="B15" s="372"/>
      <c r="C15" s="298"/>
      <c r="D15" s="268"/>
      <c r="E15" s="300" t="s">
        <v>173</v>
      </c>
      <c r="F15" s="313">
        <f>+F14</f>
        <v>0</v>
      </c>
    </row>
    <row r="16" spans="2:6" ht="19.5" thickBot="1">
      <c r="B16" s="362" t="s">
        <v>134</v>
      </c>
      <c r="C16" s="311" t="s">
        <v>1451</v>
      </c>
      <c r="D16" s="294" t="s">
        <v>561</v>
      </c>
      <c r="E16" s="107" t="s">
        <v>562</v>
      </c>
      <c r="F16" s="294" t="s">
        <v>578</v>
      </c>
    </row>
    <row r="17" spans="2:6">
      <c r="B17" s="364" t="s">
        <v>146</v>
      </c>
      <c r="C17" s="295" t="s">
        <v>665</v>
      </c>
      <c r="D17" s="296">
        <v>1930</v>
      </c>
      <c r="E17" s="297"/>
      <c r="F17" s="545">
        <f t="shared" ref="F17" si="2">+E17*D17</f>
        <v>0</v>
      </c>
    </row>
    <row r="18" spans="2:6" ht="15.75" thickBot="1">
      <c r="B18" s="372"/>
      <c r="C18" s="298"/>
      <c r="D18" s="268"/>
      <c r="E18" s="300" t="s">
        <v>173</v>
      </c>
      <c r="F18" s="313">
        <f>+F17</f>
        <v>0</v>
      </c>
    </row>
    <row r="20" spans="2:6" ht="19.5" thickBot="1">
      <c r="B20" s="362" t="s">
        <v>134</v>
      </c>
      <c r="C20" s="311" t="s">
        <v>1452</v>
      </c>
      <c r="D20" s="294" t="s">
        <v>561</v>
      </c>
      <c r="E20" s="107" t="s">
        <v>562</v>
      </c>
      <c r="F20" s="294" t="s">
        <v>578</v>
      </c>
    </row>
    <row r="21" spans="2:6">
      <c r="B21" s="364" t="s">
        <v>146</v>
      </c>
      <c r="C21" s="295" t="s">
        <v>666</v>
      </c>
      <c r="D21" s="296">
        <v>1140</v>
      </c>
      <c r="E21" s="297"/>
      <c r="F21" s="545">
        <f>+E21*D21</f>
        <v>0</v>
      </c>
    </row>
    <row r="22" spans="2:6" ht="15.75" thickBot="1">
      <c r="B22" s="372"/>
      <c r="C22" s="298"/>
      <c r="D22" s="268"/>
      <c r="E22" s="300" t="s">
        <v>173</v>
      </c>
      <c r="F22" s="313">
        <f>+F21</f>
        <v>0</v>
      </c>
    </row>
  </sheetData>
  <sheetProtection algorithmName="SHA-512" hashValue="IU/tId3h7cDgUyDyG6qlZSGzi9LCQZbqmqot/zdrveSka7OmHSNzntIC+gTeEvix9726SYteG5usQYJ8v/UB9Q==" saltValue="OSQXhqXULMChBtkhGbptQg==" spinCount="100000" sheet="1" objects="1" scenarios="1"/>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DDE09-53D1-45EA-8A52-DA8951581398}">
  <sheetPr codeName="Sheet11"/>
  <dimension ref="B1:F57"/>
  <sheetViews>
    <sheetView workbookViewId="0">
      <selection activeCell="E46" sqref="E46"/>
    </sheetView>
  </sheetViews>
  <sheetFormatPr defaultColWidth="9.140625" defaultRowHeight="15"/>
  <cols>
    <col min="1" max="1" width="9.140625" style="252"/>
    <col min="2" max="2" width="9.140625" style="284"/>
    <col min="3" max="3" width="42.140625" style="252" bestFit="1" customWidth="1"/>
    <col min="4" max="4" width="9.140625" style="310"/>
    <col min="5" max="5" width="11.28515625" style="252" bestFit="1" customWidth="1"/>
    <col min="6" max="6" width="9.140625" style="310"/>
    <col min="7" max="16384" width="9.140625" style="252"/>
  </cols>
  <sheetData>
    <row r="1" spans="2:6" customFormat="1"/>
    <row r="2" spans="2:6" customFormat="1" ht="15.75">
      <c r="B2" s="251" t="s">
        <v>543</v>
      </c>
    </row>
    <row r="3" spans="2:6" customFormat="1"/>
    <row r="4" spans="2:6" ht="19.5" thickBot="1">
      <c r="B4" s="271" t="s">
        <v>134</v>
      </c>
      <c r="C4" s="311" t="s">
        <v>667</v>
      </c>
      <c r="D4" s="294" t="s">
        <v>561</v>
      </c>
      <c r="E4" s="107" t="s">
        <v>562</v>
      </c>
      <c r="F4" s="294" t="s">
        <v>578</v>
      </c>
    </row>
    <row r="5" spans="2:6">
      <c r="B5" s="273"/>
      <c r="C5" s="274" t="s">
        <v>668</v>
      </c>
      <c r="D5" s="296"/>
      <c r="E5" s="275"/>
      <c r="F5" s="276"/>
    </row>
    <row r="6" spans="2:6">
      <c r="B6" s="277" t="s">
        <v>146</v>
      </c>
      <c r="C6" t="s">
        <v>669</v>
      </c>
      <c r="D6" s="289">
        <v>85</v>
      </c>
      <c r="F6" s="258">
        <f>+E6*D6</f>
        <v>0</v>
      </c>
    </row>
    <row r="7" spans="2:6">
      <c r="B7" s="277" t="s">
        <v>146</v>
      </c>
      <c r="C7" t="s">
        <v>670</v>
      </c>
      <c r="D7" s="289">
        <v>85</v>
      </c>
      <c r="F7" s="258">
        <f t="shared" ref="F7:F12" si="0">+E7*D7</f>
        <v>0</v>
      </c>
    </row>
    <row r="8" spans="2:6">
      <c r="B8" s="277" t="s">
        <v>146</v>
      </c>
      <c r="C8" t="s">
        <v>671</v>
      </c>
      <c r="D8" s="289">
        <v>175</v>
      </c>
      <c r="F8" s="258">
        <f t="shared" si="0"/>
        <v>0</v>
      </c>
    </row>
    <row r="9" spans="2:6">
      <c r="B9" s="277" t="s">
        <v>146</v>
      </c>
      <c r="C9" t="s">
        <v>672</v>
      </c>
      <c r="D9" s="289">
        <v>250</v>
      </c>
      <c r="F9" s="258">
        <f t="shared" si="0"/>
        <v>0</v>
      </c>
    </row>
    <row r="10" spans="2:6">
      <c r="B10" s="277" t="s">
        <v>146</v>
      </c>
      <c r="C10" t="s">
        <v>673</v>
      </c>
      <c r="D10" s="289">
        <v>105</v>
      </c>
      <c r="F10" s="258">
        <f t="shared" si="0"/>
        <v>0</v>
      </c>
    </row>
    <row r="11" spans="2:6">
      <c r="B11" s="277" t="s">
        <v>146</v>
      </c>
      <c r="C11" t="s">
        <v>674</v>
      </c>
      <c r="D11" s="289">
        <v>135</v>
      </c>
      <c r="F11" s="258">
        <f t="shared" si="0"/>
        <v>0</v>
      </c>
    </row>
    <row r="12" spans="2:6">
      <c r="B12" s="277" t="s">
        <v>146</v>
      </c>
      <c r="C12" t="s">
        <v>675</v>
      </c>
      <c r="D12" s="289">
        <v>150</v>
      </c>
      <c r="F12" s="258">
        <f t="shared" si="0"/>
        <v>0</v>
      </c>
    </row>
    <row r="13" spans="2:6">
      <c r="B13" s="277"/>
      <c r="C13"/>
      <c r="D13" s="289"/>
      <c r="E13" s="18" t="s">
        <v>568</v>
      </c>
      <c r="F13" s="314">
        <f>SUM(F6:F12)</f>
        <v>0</v>
      </c>
    </row>
    <row r="14" spans="2:6">
      <c r="B14" s="277"/>
      <c r="C14" s="280" t="s">
        <v>676</v>
      </c>
      <c r="D14" s="289"/>
      <c r="E14"/>
      <c r="F14" s="259"/>
    </row>
    <row r="15" spans="2:6">
      <c r="B15" s="277" t="s">
        <v>146</v>
      </c>
      <c r="C15" t="s">
        <v>677</v>
      </c>
      <c r="D15" s="289">
        <v>85</v>
      </c>
      <c r="F15" s="258">
        <f>+E15*D15</f>
        <v>0</v>
      </c>
    </row>
    <row r="16" spans="2:6">
      <c r="B16" s="277" t="s">
        <v>146</v>
      </c>
      <c r="C16" t="s">
        <v>678</v>
      </c>
      <c r="D16" s="289">
        <v>120</v>
      </c>
      <c r="F16" s="258">
        <f>+E16*D16</f>
        <v>0</v>
      </c>
    </row>
    <row r="17" spans="2:6">
      <c r="B17" s="277" t="s">
        <v>146</v>
      </c>
      <c r="C17" t="s">
        <v>679</v>
      </c>
      <c r="D17" s="289">
        <v>590</v>
      </c>
      <c r="F17" s="258">
        <f>+E17*D17</f>
        <v>0</v>
      </c>
    </row>
    <row r="18" spans="2:6">
      <c r="B18" s="277" t="s">
        <v>146</v>
      </c>
      <c r="C18" t="s">
        <v>680</v>
      </c>
      <c r="D18" s="289">
        <v>125</v>
      </c>
      <c r="F18" s="258">
        <f>+E18*D18</f>
        <v>0</v>
      </c>
    </row>
    <row r="19" spans="2:6">
      <c r="B19" s="277"/>
      <c r="C19"/>
      <c r="D19" s="289"/>
      <c r="E19" s="18" t="s">
        <v>568</v>
      </c>
      <c r="F19" s="279">
        <f>SUM(F15:F18)</f>
        <v>0</v>
      </c>
    </row>
    <row r="20" spans="2:6">
      <c r="B20" s="277"/>
      <c r="C20" s="280" t="s">
        <v>681</v>
      </c>
      <c r="D20" s="289"/>
      <c r="E20"/>
      <c r="F20" s="258"/>
    </row>
    <row r="21" spans="2:6">
      <c r="B21" s="277" t="s">
        <v>146</v>
      </c>
      <c r="C21" t="s">
        <v>682</v>
      </c>
      <c r="D21" s="289">
        <v>405</v>
      </c>
      <c r="F21" s="258">
        <f t="shared" ref="F21:F26" si="1">+E21*D21</f>
        <v>0</v>
      </c>
    </row>
    <row r="22" spans="2:6" ht="30">
      <c r="B22" s="277" t="s">
        <v>146</v>
      </c>
      <c r="C22" s="13" t="s">
        <v>683</v>
      </c>
      <c r="D22" s="289">
        <v>270</v>
      </c>
      <c r="F22" s="258">
        <f t="shared" si="1"/>
        <v>0</v>
      </c>
    </row>
    <row r="23" spans="2:6">
      <c r="B23" s="277" t="s">
        <v>146</v>
      </c>
      <c r="C23" t="s">
        <v>684</v>
      </c>
      <c r="D23" s="289">
        <v>145</v>
      </c>
      <c r="F23" s="258">
        <f t="shared" si="1"/>
        <v>0</v>
      </c>
    </row>
    <row r="24" spans="2:6">
      <c r="B24" s="277" t="s">
        <v>146</v>
      </c>
      <c r="C24" t="s">
        <v>685</v>
      </c>
      <c r="D24" s="289">
        <v>690</v>
      </c>
      <c r="F24" s="258">
        <f t="shared" si="1"/>
        <v>0</v>
      </c>
    </row>
    <row r="25" spans="2:6">
      <c r="B25" s="277" t="s">
        <v>146</v>
      </c>
      <c r="C25" t="s">
        <v>686</v>
      </c>
      <c r="D25" s="540">
        <v>460</v>
      </c>
      <c r="F25" s="541">
        <f t="shared" si="1"/>
        <v>0</v>
      </c>
    </row>
    <row r="26" spans="2:6">
      <c r="B26" s="277" t="s">
        <v>146</v>
      </c>
      <c r="C26" t="s">
        <v>687</v>
      </c>
      <c r="D26" s="540">
        <v>730</v>
      </c>
      <c r="F26" s="258">
        <f t="shared" si="1"/>
        <v>0</v>
      </c>
    </row>
    <row r="27" spans="2:6">
      <c r="B27" s="277"/>
      <c r="C27"/>
      <c r="D27" s="289"/>
      <c r="E27" s="18" t="s">
        <v>568</v>
      </c>
      <c r="F27" s="314">
        <f>SUM(F21:F26)</f>
        <v>0</v>
      </c>
    </row>
    <row r="28" spans="2:6">
      <c r="B28" s="277"/>
      <c r="C28"/>
      <c r="D28" s="289"/>
      <c r="E28"/>
      <c r="F28" s="258"/>
    </row>
    <row r="29" spans="2:6">
      <c r="B29" s="277"/>
      <c r="C29" s="280" t="s">
        <v>688</v>
      </c>
      <c r="D29" s="289"/>
      <c r="E29"/>
      <c r="F29" s="258"/>
    </row>
    <row r="30" spans="2:6">
      <c r="B30" s="277" t="s">
        <v>146</v>
      </c>
      <c r="C30" t="s">
        <v>1096</v>
      </c>
      <c r="D30" s="289">
        <v>75</v>
      </c>
      <c r="E30" s="252">
        <v>20</v>
      </c>
      <c r="F30" s="258">
        <f t="shared" ref="F30:F41" si="2">+E30*D30</f>
        <v>1500</v>
      </c>
    </row>
    <row r="31" spans="2:6">
      <c r="B31" s="277" t="s">
        <v>146</v>
      </c>
      <c r="C31" t="s">
        <v>1441</v>
      </c>
      <c r="D31" s="289">
        <v>90</v>
      </c>
      <c r="E31" s="252">
        <v>20</v>
      </c>
      <c r="F31" s="258">
        <f t="shared" si="2"/>
        <v>1800</v>
      </c>
    </row>
    <row r="32" spans="2:6">
      <c r="B32" s="277" t="s">
        <v>146</v>
      </c>
      <c r="C32" t="s">
        <v>1442</v>
      </c>
      <c r="D32" s="289">
        <v>20</v>
      </c>
      <c r="E32" s="252">
        <v>50</v>
      </c>
      <c r="F32" s="258">
        <f t="shared" ref="F32" si="3">+E32*D32</f>
        <v>1000</v>
      </c>
    </row>
    <row r="33" spans="2:6" ht="15" customHeight="1">
      <c r="B33" s="277" t="s">
        <v>146</v>
      </c>
      <c r="C33" s="13" t="s">
        <v>1443</v>
      </c>
      <c r="D33" s="289">
        <v>20</v>
      </c>
      <c r="F33" s="258">
        <f t="shared" si="2"/>
        <v>0</v>
      </c>
    </row>
    <row r="34" spans="2:6" ht="26.1" customHeight="1">
      <c r="B34" s="277" t="s">
        <v>146</v>
      </c>
      <c r="C34" s="542" t="s">
        <v>1444</v>
      </c>
      <c r="D34" s="540">
        <v>30</v>
      </c>
      <c r="F34" s="541">
        <f t="shared" si="2"/>
        <v>0</v>
      </c>
    </row>
    <row r="35" spans="2:6">
      <c r="B35" s="277" t="s">
        <v>146</v>
      </c>
      <c r="C35" s="13" t="s">
        <v>1445</v>
      </c>
      <c r="D35" s="289">
        <v>65</v>
      </c>
      <c r="F35" s="258">
        <f t="shared" si="2"/>
        <v>0</v>
      </c>
    </row>
    <row r="36" spans="2:6">
      <c r="B36" s="277" t="s">
        <v>146</v>
      </c>
      <c r="C36" s="13" t="s">
        <v>1446</v>
      </c>
      <c r="D36" s="289">
        <v>90</v>
      </c>
      <c r="F36" s="258">
        <f t="shared" si="2"/>
        <v>0</v>
      </c>
    </row>
    <row r="37" spans="2:6" ht="30">
      <c r="B37" s="277" t="s">
        <v>689</v>
      </c>
      <c r="C37" s="13" t="s">
        <v>690</v>
      </c>
      <c r="D37" s="289">
        <v>290</v>
      </c>
      <c r="F37" s="258">
        <f t="shared" si="2"/>
        <v>0</v>
      </c>
    </row>
    <row r="38" spans="2:6" ht="30">
      <c r="B38" s="277" t="s">
        <v>689</v>
      </c>
      <c r="C38" s="13" t="s">
        <v>691</v>
      </c>
      <c r="D38" s="289">
        <v>320</v>
      </c>
      <c r="F38" s="258">
        <f t="shared" si="2"/>
        <v>0</v>
      </c>
    </row>
    <row r="39" spans="2:6">
      <c r="B39" s="277" t="s">
        <v>146</v>
      </c>
      <c r="C39" t="s">
        <v>692</v>
      </c>
      <c r="D39" s="289">
        <v>75</v>
      </c>
      <c r="F39" s="258">
        <f t="shared" si="2"/>
        <v>0</v>
      </c>
    </row>
    <row r="40" spans="2:6">
      <c r="B40" s="277" t="s">
        <v>146</v>
      </c>
      <c r="C40" t="s">
        <v>693</v>
      </c>
      <c r="D40" s="289">
        <v>115</v>
      </c>
      <c r="F40" s="258">
        <f t="shared" si="2"/>
        <v>0</v>
      </c>
    </row>
    <row r="41" spans="2:6">
      <c r="B41" s="277" t="s">
        <v>146</v>
      </c>
      <c r="C41" t="s">
        <v>694</v>
      </c>
      <c r="D41" s="289">
        <v>130</v>
      </c>
      <c r="F41" s="258">
        <f t="shared" si="2"/>
        <v>0</v>
      </c>
    </row>
    <row r="42" spans="2:6">
      <c r="B42" s="277"/>
      <c r="C42" s="13"/>
      <c r="D42" s="289"/>
      <c r="E42" s="18" t="s">
        <v>568</v>
      </c>
      <c r="F42" s="314">
        <f>SUM(F30:F41)</f>
        <v>4300</v>
      </c>
    </row>
    <row r="43" spans="2:6">
      <c r="B43" s="277"/>
      <c r="C43" s="306" t="s">
        <v>695</v>
      </c>
      <c r="D43" s="289"/>
      <c r="E43"/>
      <c r="F43" s="258"/>
    </row>
    <row r="44" spans="2:6">
      <c r="B44" s="277" t="s">
        <v>146</v>
      </c>
      <c r="C44" s="13" t="s">
        <v>696</v>
      </c>
      <c r="D44" s="289">
        <v>165</v>
      </c>
      <c r="F44" s="258">
        <f t="shared" ref="F44:F49" si="4">+E44*D44</f>
        <v>0</v>
      </c>
    </row>
    <row r="45" spans="2:6">
      <c r="B45" s="277" t="s">
        <v>146</v>
      </c>
      <c r="C45" s="13" t="s">
        <v>697</v>
      </c>
      <c r="D45" s="289">
        <v>185</v>
      </c>
      <c r="F45" s="258">
        <f t="shared" si="4"/>
        <v>0</v>
      </c>
    </row>
    <row r="46" spans="2:6" ht="30">
      <c r="B46" s="277" t="s">
        <v>146</v>
      </c>
      <c r="C46" s="13" t="s">
        <v>698</v>
      </c>
      <c r="D46" s="289">
        <v>405</v>
      </c>
      <c r="F46" s="258">
        <f t="shared" si="4"/>
        <v>0</v>
      </c>
    </row>
    <row r="47" spans="2:6" ht="30.75" customHeight="1">
      <c r="B47" s="277" t="s">
        <v>146</v>
      </c>
      <c r="C47" s="13" t="s">
        <v>699</v>
      </c>
      <c r="D47" s="289">
        <v>515</v>
      </c>
      <c r="E47" s="252">
        <v>4</v>
      </c>
      <c r="F47" s="258">
        <f t="shared" si="4"/>
        <v>2060</v>
      </c>
    </row>
    <row r="48" spans="2:6" ht="34.5" customHeight="1">
      <c r="B48" s="277" t="s">
        <v>146</v>
      </c>
      <c r="C48" s="13" t="s">
        <v>700</v>
      </c>
      <c r="D48" s="289">
        <v>465</v>
      </c>
      <c r="F48" s="258">
        <f t="shared" si="4"/>
        <v>0</v>
      </c>
    </row>
    <row r="49" spans="2:6" ht="30">
      <c r="B49" s="277" t="s">
        <v>146</v>
      </c>
      <c r="C49" s="13" t="s">
        <v>701</v>
      </c>
      <c r="D49" s="289">
        <v>575</v>
      </c>
      <c r="F49" s="258">
        <f t="shared" si="4"/>
        <v>0</v>
      </c>
    </row>
    <row r="50" spans="2:6">
      <c r="B50" s="277"/>
      <c r="C50"/>
      <c r="D50" s="289"/>
      <c r="E50" s="18" t="s">
        <v>568</v>
      </c>
      <c r="F50" s="314">
        <f>SUM(F44:F49)</f>
        <v>2060</v>
      </c>
    </row>
    <row r="51" spans="2:6">
      <c r="B51" s="277"/>
      <c r="C51" s="306" t="s">
        <v>702</v>
      </c>
      <c r="D51" s="289"/>
      <c r="E51" s="18"/>
      <c r="F51" s="314"/>
    </row>
    <row r="52" spans="2:6">
      <c r="B52" s="277" t="s">
        <v>146</v>
      </c>
      <c r="C52" s="13" t="s">
        <v>1447</v>
      </c>
      <c r="D52" s="289">
        <v>440</v>
      </c>
      <c r="F52" s="258">
        <f>+E52*D52</f>
        <v>0</v>
      </c>
    </row>
    <row r="53" spans="2:6">
      <c r="B53" s="277" t="s">
        <v>146</v>
      </c>
      <c r="C53" s="13" t="s">
        <v>1448</v>
      </c>
      <c r="D53" s="289">
        <v>545</v>
      </c>
      <c r="F53" s="258">
        <f>+E53*D53</f>
        <v>0</v>
      </c>
    </row>
    <row r="54" spans="2:6">
      <c r="B54" s="277" t="s">
        <v>146</v>
      </c>
      <c r="C54" s="13" t="s">
        <v>1449</v>
      </c>
      <c r="D54" s="289">
        <v>1095</v>
      </c>
      <c r="F54" s="258">
        <f>+E54*D54</f>
        <v>0</v>
      </c>
    </row>
    <row r="55" spans="2:6" ht="14.25" customHeight="1">
      <c r="B55" s="277" t="s">
        <v>146</v>
      </c>
      <c r="C55" s="13" t="s">
        <v>1450</v>
      </c>
      <c r="D55" s="289">
        <v>1355</v>
      </c>
      <c r="F55" s="258">
        <f>+E55*D55</f>
        <v>0</v>
      </c>
    </row>
    <row r="56" spans="2:6">
      <c r="B56" s="277"/>
      <c r="C56"/>
      <c r="D56" s="289"/>
      <c r="E56" s="18" t="s">
        <v>568</v>
      </c>
      <c r="F56" s="314">
        <f>SUM(F52:F55)</f>
        <v>0</v>
      </c>
    </row>
    <row r="57" spans="2:6" ht="15.75" thickBot="1">
      <c r="B57" s="281"/>
      <c r="C57" s="268"/>
      <c r="D57" s="299"/>
      <c r="E57" s="300" t="s">
        <v>576</v>
      </c>
      <c r="F57" s="283">
        <f>+F50+F42+F27+F19+F14+F56</f>
        <v>6360</v>
      </c>
    </row>
  </sheetData>
  <sheetProtection algorithmName="SHA-512" hashValue="+xTiuLQWgkZQXCasaVizX2gm8+1VlnxQk4UP+3O27b1SZhvIfwRMmiUegTXTm0ZdTcXQ9hxQ5uqw/u80gE7BNA==" saltValue="t6qtUJLU1OuL4ZgsZQmh+w==" spinCount="100000" sheet="1" objects="1" scenarios="1"/>
  <pageMargins left="0.7" right="0.7" top="0.75" bottom="0.75" header="0.3" footer="0.3"/>
  <pageSetup paperSize="9" orientation="portrait" horizontalDpi="120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27D39-7A18-44C8-8B96-F57FF3C19653}">
  <sheetPr codeName="Sheet12"/>
  <dimension ref="B1:L56"/>
  <sheetViews>
    <sheetView workbookViewId="0">
      <selection activeCell="E18" sqref="E18"/>
    </sheetView>
  </sheetViews>
  <sheetFormatPr defaultColWidth="9.140625" defaultRowHeight="15"/>
  <cols>
    <col min="1" max="1" width="9.140625" style="252"/>
    <col min="2" max="2" width="9.140625" style="284"/>
    <col min="3" max="3" width="41" style="252" bestFit="1" customWidth="1"/>
    <col min="4" max="4" width="10.5703125" style="310" bestFit="1" customWidth="1"/>
    <col min="5" max="5" width="11.28515625" style="252" bestFit="1" customWidth="1"/>
    <col min="6" max="6" width="9.140625" style="310"/>
    <col min="7" max="11" width="9.140625" style="252"/>
    <col min="12" max="12" width="13.7109375" style="252" bestFit="1" customWidth="1"/>
    <col min="13" max="16384" width="9.140625" style="252"/>
  </cols>
  <sheetData>
    <row r="1" spans="2:8" customFormat="1"/>
    <row r="2" spans="2:8" customFormat="1" ht="15.75">
      <c r="B2" s="251" t="s">
        <v>543</v>
      </c>
    </row>
    <row r="3" spans="2:8" customFormat="1"/>
    <row r="4" spans="2:8" ht="19.5" thickBot="1">
      <c r="B4" s="271" t="s">
        <v>134</v>
      </c>
      <c r="C4" s="311" t="s">
        <v>703</v>
      </c>
      <c r="D4" s="294" t="s">
        <v>561</v>
      </c>
      <c r="E4" s="107" t="s">
        <v>562</v>
      </c>
      <c r="F4" s="294" t="s">
        <v>578</v>
      </c>
    </row>
    <row r="5" spans="2:8" ht="15" customHeight="1">
      <c r="B5" s="315"/>
      <c r="C5" s="274" t="s">
        <v>704</v>
      </c>
      <c r="D5" s="316"/>
      <c r="E5" s="286"/>
      <c r="F5" s="317"/>
    </row>
    <row r="6" spans="2:8" ht="30">
      <c r="B6" s="277" t="s">
        <v>705</v>
      </c>
      <c r="C6" s="13" t="s">
        <v>1439</v>
      </c>
      <c r="D6" s="289">
        <v>555</v>
      </c>
      <c r="E6" s="252">
        <v>3</v>
      </c>
      <c r="F6" s="258">
        <f>+CEILING((E6*D6),5)</f>
        <v>1665</v>
      </c>
    </row>
    <row r="7" spans="2:8" ht="30">
      <c r="B7" s="277" t="s">
        <v>706</v>
      </c>
      <c r="C7" s="13" t="s">
        <v>707</v>
      </c>
      <c r="D7" s="289">
        <v>340</v>
      </c>
      <c r="F7" s="258">
        <f>+CEILING((E7*D7),5)</f>
        <v>0</v>
      </c>
      <c r="H7" s="252" t="s">
        <v>1959</v>
      </c>
    </row>
    <row r="8" spans="2:8">
      <c r="B8" s="277" t="s">
        <v>143</v>
      </c>
      <c r="C8" t="s">
        <v>708</v>
      </c>
      <c r="D8" s="289">
        <v>660</v>
      </c>
      <c r="F8" s="258">
        <f>+CEILING((E8*D8),5)</f>
        <v>0</v>
      </c>
    </row>
    <row r="9" spans="2:8">
      <c r="B9" s="277" t="s">
        <v>143</v>
      </c>
      <c r="C9" t="s">
        <v>152</v>
      </c>
      <c r="D9" s="289">
        <v>200</v>
      </c>
      <c r="F9" s="258">
        <f>+CEILING((E9*D9),5)</f>
        <v>0</v>
      </c>
    </row>
    <row r="10" spans="2:8">
      <c r="B10" s="277"/>
      <c r="C10"/>
      <c r="D10" s="289"/>
      <c r="E10" s="18" t="s">
        <v>568</v>
      </c>
      <c r="F10" s="279">
        <f>SUM(F6:F9)</f>
        <v>1665</v>
      </c>
    </row>
    <row r="11" spans="2:8">
      <c r="B11" s="277"/>
      <c r="C11" s="280" t="s">
        <v>709</v>
      </c>
      <c r="D11" s="289"/>
      <c r="E11"/>
      <c r="F11" s="258"/>
    </row>
    <row r="12" spans="2:8">
      <c r="B12" s="277" t="s">
        <v>143</v>
      </c>
      <c r="C12" t="s">
        <v>710</v>
      </c>
      <c r="D12" s="289">
        <v>45</v>
      </c>
      <c r="F12" s="258">
        <f>+CEILING((E12*D12),5)</f>
        <v>0</v>
      </c>
    </row>
    <row r="13" spans="2:8">
      <c r="B13" s="277" t="s">
        <v>143</v>
      </c>
      <c r="C13" t="s">
        <v>711</v>
      </c>
      <c r="D13" s="289">
        <v>65</v>
      </c>
      <c r="F13" s="258">
        <f>+CEILING((E13*D13),5)</f>
        <v>0</v>
      </c>
    </row>
    <row r="14" spans="2:8">
      <c r="B14" s="277" t="s">
        <v>143</v>
      </c>
      <c r="C14" t="s">
        <v>712</v>
      </c>
      <c r="D14" s="289">
        <v>40</v>
      </c>
      <c r="F14" s="258">
        <f>+CEILING((E14*D14),5)</f>
        <v>0</v>
      </c>
    </row>
    <row r="15" spans="2:8">
      <c r="B15" s="277"/>
      <c r="C15"/>
      <c r="D15" s="289"/>
      <c r="E15" s="18" t="s">
        <v>568</v>
      </c>
      <c r="F15" s="279">
        <f>SUM(F12:F14)</f>
        <v>0</v>
      </c>
    </row>
    <row r="16" spans="2:8">
      <c r="B16" s="277"/>
      <c r="C16" s="280" t="s">
        <v>713</v>
      </c>
      <c r="D16" s="289"/>
      <c r="E16"/>
      <c r="F16" s="258"/>
    </row>
    <row r="17" spans="2:12">
      <c r="B17" s="277" t="s">
        <v>143</v>
      </c>
      <c r="C17" t="s">
        <v>714</v>
      </c>
      <c r="D17" s="289">
        <v>85</v>
      </c>
      <c r="E17" s="252">
        <v>2.4</v>
      </c>
      <c r="F17" s="258">
        <f>+CEILING((E17*D17),5)</f>
        <v>205</v>
      </c>
    </row>
    <row r="18" spans="2:12">
      <c r="B18" s="277"/>
      <c r="C18"/>
      <c r="D18" s="289"/>
      <c r="E18" s="18" t="s">
        <v>568</v>
      </c>
      <c r="F18" s="279">
        <f>+F17</f>
        <v>205</v>
      </c>
    </row>
    <row r="19" spans="2:12">
      <c r="B19" s="277"/>
      <c r="C19" s="280" t="s">
        <v>715</v>
      </c>
      <c r="D19" s="289"/>
      <c r="E19"/>
      <c r="F19" s="258"/>
    </row>
    <row r="20" spans="2:12">
      <c r="B20" s="277" t="s">
        <v>705</v>
      </c>
      <c r="C20" t="s">
        <v>716</v>
      </c>
      <c r="D20" s="289">
        <v>19</v>
      </c>
      <c r="E20" s="252">
        <v>330</v>
      </c>
      <c r="F20" s="258">
        <f t="shared" ref="F20:F21" si="0">+CEILING((E20*D20),5)</f>
        <v>6270</v>
      </c>
    </row>
    <row r="21" spans="2:12">
      <c r="B21" s="277" t="s">
        <v>705</v>
      </c>
      <c r="C21" t="s">
        <v>717</v>
      </c>
      <c r="D21" s="289">
        <v>40</v>
      </c>
      <c r="E21" s="252">
        <v>10</v>
      </c>
      <c r="F21" s="258">
        <f t="shared" si="0"/>
        <v>400</v>
      </c>
    </row>
    <row r="22" spans="2:12">
      <c r="B22" s="277"/>
      <c r="C22" t="s">
        <v>718</v>
      </c>
      <c r="D22" s="289" t="s">
        <v>236</v>
      </c>
      <c r="E22"/>
      <c r="F22" s="258"/>
    </row>
    <row r="23" spans="2:12">
      <c r="B23" s="277"/>
      <c r="C23"/>
      <c r="D23" s="289"/>
      <c r="E23" s="18" t="s">
        <v>568</v>
      </c>
      <c r="F23" s="279">
        <f>SUM(F20:F21)</f>
        <v>6670</v>
      </c>
    </row>
    <row r="24" spans="2:12">
      <c r="B24" s="277"/>
      <c r="C24" s="280" t="s">
        <v>719</v>
      </c>
      <c r="D24" s="289"/>
      <c r="E24"/>
      <c r="F24" s="258"/>
    </row>
    <row r="25" spans="2:12">
      <c r="B25" s="277" t="s">
        <v>705</v>
      </c>
      <c r="C25" t="s">
        <v>720</v>
      </c>
      <c r="D25" s="289">
        <v>220</v>
      </c>
      <c r="E25" s="252">
        <v>1.7</v>
      </c>
      <c r="F25" s="258">
        <f t="shared" ref="F25:F29" si="1">+CEILING((E25*D25),5)</f>
        <v>375</v>
      </c>
    </row>
    <row r="26" spans="2:12">
      <c r="B26" s="277" t="s">
        <v>143</v>
      </c>
      <c r="C26" t="s">
        <v>721</v>
      </c>
      <c r="D26" s="289">
        <v>55</v>
      </c>
      <c r="F26" s="258">
        <f t="shared" si="1"/>
        <v>0</v>
      </c>
    </row>
    <row r="27" spans="2:12">
      <c r="B27" s="277" t="s">
        <v>146</v>
      </c>
      <c r="C27" t="s">
        <v>722</v>
      </c>
      <c r="D27" s="289">
        <v>810</v>
      </c>
      <c r="F27" s="258">
        <f t="shared" si="1"/>
        <v>0</v>
      </c>
    </row>
    <row r="28" spans="2:12">
      <c r="B28" s="277" t="s">
        <v>146</v>
      </c>
      <c r="C28" t="s">
        <v>1438</v>
      </c>
      <c r="D28" s="289">
        <v>1045</v>
      </c>
      <c r="F28" s="258">
        <f t="shared" ref="F28" si="2">+CEILING((E28*D28),5)</f>
        <v>0</v>
      </c>
    </row>
    <row r="29" spans="2:12">
      <c r="B29" s="277" t="s">
        <v>143</v>
      </c>
      <c r="C29" t="s">
        <v>723</v>
      </c>
      <c r="D29" s="289">
        <v>130</v>
      </c>
      <c r="F29" s="258">
        <f t="shared" si="1"/>
        <v>0</v>
      </c>
      <c r="J29" s="406"/>
      <c r="K29" s="406"/>
      <c r="L29" s="406"/>
    </row>
    <row r="30" spans="2:12">
      <c r="B30" s="277"/>
      <c r="C30"/>
      <c r="D30" s="289"/>
      <c r="E30" s="18" t="s">
        <v>568</v>
      </c>
      <c r="F30" s="279">
        <f>SUM(F25:F29)</f>
        <v>375</v>
      </c>
      <c r="J30" s="406"/>
      <c r="L30" s="406"/>
    </row>
    <row r="31" spans="2:12">
      <c r="B31" s="277"/>
      <c r="C31" s="280" t="s">
        <v>724</v>
      </c>
      <c r="D31" s="289"/>
      <c r="E31"/>
      <c r="F31" s="258"/>
    </row>
    <row r="32" spans="2:12">
      <c r="B32" s="277"/>
      <c r="C32" s="280" t="s">
        <v>1399</v>
      </c>
      <c r="D32" s="289"/>
      <c r="E32"/>
      <c r="F32" s="258"/>
      <c r="L32" s="531"/>
    </row>
    <row r="33" spans="2:6" ht="45">
      <c r="B33" s="277" t="s">
        <v>705</v>
      </c>
      <c r="C33" s="13" t="s">
        <v>997</v>
      </c>
      <c r="D33" s="289">
        <v>395</v>
      </c>
      <c r="E33" s="252">
        <v>-8.4</v>
      </c>
      <c r="F33" s="258">
        <f t="shared" ref="F33:F37" si="3">+CEILING((E33*D33),5)</f>
        <v>-3315</v>
      </c>
    </row>
    <row r="34" spans="2:6">
      <c r="B34" s="277" t="s">
        <v>146</v>
      </c>
      <c r="C34" t="s">
        <v>725</v>
      </c>
      <c r="D34" s="289">
        <v>275</v>
      </c>
      <c r="F34" s="258">
        <f t="shared" si="3"/>
        <v>0</v>
      </c>
    </row>
    <row r="35" spans="2:6">
      <c r="B35" s="277" t="s">
        <v>146</v>
      </c>
      <c r="C35" t="s">
        <v>726</v>
      </c>
      <c r="D35" s="289">
        <v>275</v>
      </c>
      <c r="F35" s="258">
        <f t="shared" si="3"/>
        <v>0</v>
      </c>
    </row>
    <row r="36" spans="2:6">
      <c r="B36" s="277" t="s">
        <v>146</v>
      </c>
      <c r="C36" t="s">
        <v>727</v>
      </c>
      <c r="D36" s="289">
        <v>385</v>
      </c>
      <c r="F36" s="258">
        <f t="shared" si="3"/>
        <v>0</v>
      </c>
    </row>
    <row r="37" spans="2:6">
      <c r="B37" s="277" t="s">
        <v>146</v>
      </c>
      <c r="C37" t="s">
        <v>728</v>
      </c>
      <c r="D37" s="289">
        <v>405</v>
      </c>
      <c r="F37" s="258">
        <f t="shared" si="3"/>
        <v>0</v>
      </c>
    </row>
    <row r="38" spans="2:6">
      <c r="B38" s="277"/>
      <c r="C38"/>
      <c r="D38" s="289"/>
      <c r="E38" s="18" t="s">
        <v>568</v>
      </c>
      <c r="F38" s="279">
        <f>SUM(F33:F37)</f>
        <v>-3315</v>
      </c>
    </row>
    <row r="39" spans="2:6">
      <c r="B39" s="277"/>
      <c r="C39" s="280" t="s">
        <v>729</v>
      </c>
      <c r="D39" s="289"/>
      <c r="E39"/>
      <c r="F39" s="258"/>
    </row>
    <row r="40" spans="2:6">
      <c r="B40" s="277" t="s">
        <v>143</v>
      </c>
      <c r="C40" t="s">
        <v>730</v>
      </c>
      <c r="D40" s="289">
        <v>15</v>
      </c>
      <c r="F40" s="258">
        <f t="shared" ref="F40:F45" si="4">+CEILING((E40*D40),5)</f>
        <v>0</v>
      </c>
    </row>
    <row r="41" spans="2:6">
      <c r="B41" s="277" t="s">
        <v>143</v>
      </c>
      <c r="C41" t="s">
        <v>731</v>
      </c>
      <c r="D41" s="289">
        <v>15</v>
      </c>
      <c r="F41" s="258">
        <f t="shared" si="4"/>
        <v>0</v>
      </c>
    </row>
    <row r="42" spans="2:6">
      <c r="B42" s="277" t="s">
        <v>143</v>
      </c>
      <c r="C42" t="s">
        <v>732</v>
      </c>
      <c r="D42" s="289">
        <v>100</v>
      </c>
      <c r="E42" s="252">
        <v>8.1999999999999993</v>
      </c>
      <c r="F42" s="258">
        <f t="shared" si="4"/>
        <v>820</v>
      </c>
    </row>
    <row r="43" spans="2:6">
      <c r="B43" s="277" t="s">
        <v>705</v>
      </c>
      <c r="C43" t="s">
        <v>733</v>
      </c>
      <c r="D43" s="289">
        <v>150</v>
      </c>
      <c r="F43" s="258">
        <f t="shared" si="4"/>
        <v>0</v>
      </c>
    </row>
    <row r="44" spans="2:6">
      <c r="B44" s="277" t="s">
        <v>705</v>
      </c>
      <c r="C44" t="s">
        <v>734</v>
      </c>
      <c r="D44" s="289">
        <v>400</v>
      </c>
      <c r="F44" s="258">
        <f t="shared" si="4"/>
        <v>0</v>
      </c>
    </row>
    <row r="45" spans="2:6" ht="45">
      <c r="B45" s="318" t="s">
        <v>146</v>
      </c>
      <c r="C45" s="13" t="s">
        <v>735</v>
      </c>
      <c r="D45" s="289">
        <v>600</v>
      </c>
      <c r="F45" s="258">
        <f t="shared" si="4"/>
        <v>0</v>
      </c>
    </row>
    <row r="46" spans="2:6">
      <c r="B46" s="277"/>
      <c r="C46"/>
      <c r="D46" s="289"/>
      <c r="E46" s="18" t="s">
        <v>568</v>
      </c>
      <c r="F46" s="279">
        <f>SUM(F42:F45)</f>
        <v>820</v>
      </c>
    </row>
    <row r="47" spans="2:6">
      <c r="B47" s="277"/>
      <c r="C47" s="280" t="s">
        <v>987</v>
      </c>
      <c r="D47" s="289"/>
      <c r="E47" s="18"/>
      <c r="F47" s="314"/>
    </row>
    <row r="48" spans="2:6">
      <c r="B48" s="277" t="s">
        <v>143</v>
      </c>
      <c r="C48" t="s">
        <v>988</v>
      </c>
      <c r="D48" s="289">
        <v>20</v>
      </c>
      <c r="F48" s="258">
        <f t="shared" ref="F48:F54" si="5">+CEILING((E48*D48),5)</f>
        <v>0</v>
      </c>
    </row>
    <row r="49" spans="2:6">
      <c r="B49" s="277" t="s">
        <v>143</v>
      </c>
      <c r="C49" t="s">
        <v>989</v>
      </c>
      <c r="D49" s="289">
        <v>33</v>
      </c>
      <c r="F49" s="258">
        <f t="shared" si="5"/>
        <v>0</v>
      </c>
    </row>
    <row r="50" spans="2:6">
      <c r="B50" s="277" t="s">
        <v>143</v>
      </c>
      <c r="C50" t="s">
        <v>990</v>
      </c>
      <c r="D50" s="289">
        <v>38</v>
      </c>
      <c r="F50" s="258">
        <f t="shared" si="5"/>
        <v>0</v>
      </c>
    </row>
    <row r="51" spans="2:6">
      <c r="B51" s="277" t="s">
        <v>705</v>
      </c>
      <c r="C51" t="s">
        <v>991</v>
      </c>
      <c r="D51" s="289">
        <v>9</v>
      </c>
      <c r="F51" s="258">
        <f t="shared" si="5"/>
        <v>0</v>
      </c>
    </row>
    <row r="52" spans="2:6">
      <c r="B52" s="277" t="s">
        <v>705</v>
      </c>
      <c r="C52" t="s">
        <v>992</v>
      </c>
      <c r="D52" s="289">
        <v>11</v>
      </c>
      <c r="F52" s="258">
        <f t="shared" si="5"/>
        <v>0</v>
      </c>
    </row>
    <row r="53" spans="2:6">
      <c r="B53" s="277" t="s">
        <v>705</v>
      </c>
      <c r="C53" t="s">
        <v>993</v>
      </c>
      <c r="D53" s="289">
        <v>16</v>
      </c>
      <c r="F53" s="258">
        <f t="shared" si="5"/>
        <v>0</v>
      </c>
    </row>
    <row r="54" spans="2:6">
      <c r="B54" s="277" t="s">
        <v>705</v>
      </c>
      <c r="C54" t="s">
        <v>994</v>
      </c>
      <c r="D54" s="289">
        <v>19</v>
      </c>
      <c r="F54" s="258">
        <f t="shared" si="5"/>
        <v>0</v>
      </c>
    </row>
    <row r="55" spans="2:6">
      <c r="B55" s="277"/>
      <c r="C55"/>
      <c r="D55" s="289"/>
      <c r="E55" s="18" t="s">
        <v>568</v>
      </c>
      <c r="F55" s="279">
        <f>SUM(F48:F54)</f>
        <v>0</v>
      </c>
    </row>
    <row r="56" spans="2:6" ht="15.75" thickBot="1">
      <c r="B56" s="281"/>
      <c r="C56" s="268"/>
      <c r="D56" s="299"/>
      <c r="E56" s="300" t="s">
        <v>576</v>
      </c>
      <c r="F56" s="319">
        <f>+F46+F38+F30+F23+F15+F10+F55+F18</f>
        <v>6420</v>
      </c>
    </row>
  </sheetData>
  <sheetProtection algorithmName="SHA-512" hashValue="yy4LC2FgD+1i+IYqMfmROOlK/p6YX6gfT8o6mQXAKKhvN4u8DflavG4y4UhCBwin2ToJnPXm9IJa4FwQkStSrA==" saltValue="/G+w0asKkMBaiR6ypLrs4g==" spinCount="100000" sheet="1" objects="1" scenarios="1"/>
  <phoneticPr fontId="57" type="noConversion"/>
  <pageMargins left="0.7" right="0.7" top="0.75" bottom="0.75" header="0.3" footer="0.3"/>
  <pageSetup paperSize="9" orientation="portrait" horizontalDpi="1200"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F9BCF-9186-416E-B8CF-7AE7CA6D9BDE}">
  <sheetPr codeName="Sheet13"/>
  <dimension ref="B1:F25"/>
  <sheetViews>
    <sheetView topLeftCell="A6" workbookViewId="0">
      <selection activeCell="E21" sqref="E21"/>
    </sheetView>
  </sheetViews>
  <sheetFormatPr defaultColWidth="9.140625" defaultRowHeight="15"/>
  <cols>
    <col min="1" max="1" width="9.140625" style="252"/>
    <col min="2" max="2" width="11.5703125" style="284" customWidth="1"/>
    <col min="3" max="3" width="37.140625" style="252" customWidth="1"/>
    <col min="4" max="4" width="10.5703125" style="310" bestFit="1" customWidth="1"/>
    <col min="5" max="5" width="9.140625" style="252"/>
    <col min="6" max="6" width="9.140625" style="310"/>
    <col min="7" max="16384" width="9.140625" style="252"/>
  </cols>
  <sheetData>
    <row r="1" spans="2:6" customFormat="1"/>
    <row r="2" spans="2:6" customFormat="1" ht="15.75">
      <c r="B2" s="251" t="s">
        <v>543</v>
      </c>
    </row>
    <row r="3" spans="2:6" customFormat="1"/>
    <row r="4" spans="2:6" ht="19.5" thickBot="1">
      <c r="B4" s="271" t="s">
        <v>134</v>
      </c>
      <c r="C4" s="311" t="s">
        <v>736</v>
      </c>
      <c r="D4" s="294" t="s">
        <v>561</v>
      </c>
      <c r="E4" s="107" t="s">
        <v>562</v>
      </c>
      <c r="F4" s="294" t="s">
        <v>578</v>
      </c>
    </row>
    <row r="5" spans="2:6">
      <c r="B5" s="273"/>
      <c r="C5" s="274" t="s">
        <v>737</v>
      </c>
      <c r="D5" s="296"/>
      <c r="E5" s="275"/>
      <c r="F5" s="276"/>
    </row>
    <row r="6" spans="2:6" ht="45">
      <c r="B6" s="318" t="s">
        <v>146</v>
      </c>
      <c r="C6" s="13" t="s">
        <v>738</v>
      </c>
      <c r="D6" s="289">
        <v>1565</v>
      </c>
      <c r="F6" s="258">
        <f>+CEILING((E6*D6),5)</f>
        <v>0</v>
      </c>
    </row>
    <row r="7" spans="2:6" ht="45">
      <c r="B7" s="318" t="s">
        <v>146</v>
      </c>
      <c r="C7" s="13" t="s">
        <v>739</v>
      </c>
      <c r="D7" s="289">
        <v>1840</v>
      </c>
      <c r="F7" s="258">
        <f t="shared" ref="F7:F10" si="0">+CEILING((E7*D7),5)</f>
        <v>0</v>
      </c>
    </row>
    <row r="8" spans="2:6" ht="45">
      <c r="B8" s="318" t="s">
        <v>146</v>
      </c>
      <c r="C8" s="13" t="s">
        <v>740</v>
      </c>
      <c r="D8" s="289">
        <v>2400</v>
      </c>
      <c r="F8" s="258">
        <f t="shared" si="0"/>
        <v>0</v>
      </c>
    </row>
    <row r="9" spans="2:6">
      <c r="B9" s="318" t="s">
        <v>597</v>
      </c>
      <c r="C9" s="13" t="s">
        <v>741</v>
      </c>
      <c r="D9" s="289">
        <v>20</v>
      </c>
      <c r="E9" s="252">
        <v>9</v>
      </c>
      <c r="F9" s="258">
        <f t="shared" si="0"/>
        <v>180</v>
      </c>
    </row>
    <row r="10" spans="2:6">
      <c r="B10" s="318" t="s">
        <v>146</v>
      </c>
      <c r="C10" s="13" t="s">
        <v>742</v>
      </c>
      <c r="D10" s="289">
        <v>80</v>
      </c>
      <c r="E10" s="252">
        <v>2</v>
      </c>
      <c r="F10" s="258">
        <f t="shared" si="0"/>
        <v>160</v>
      </c>
    </row>
    <row r="11" spans="2:6">
      <c r="B11" s="277"/>
      <c r="C11"/>
      <c r="D11" s="289"/>
      <c r="E11" s="18" t="s">
        <v>568</v>
      </c>
      <c r="F11" s="279">
        <f>SUM(F6:F10)</f>
        <v>340</v>
      </c>
    </row>
    <row r="12" spans="2:6">
      <c r="B12" s="277"/>
      <c r="C12" s="306" t="s">
        <v>743</v>
      </c>
      <c r="D12" s="289"/>
      <c r="E12"/>
      <c r="F12" s="258"/>
    </row>
    <row r="13" spans="2:6" ht="45">
      <c r="B13" s="318" t="s">
        <v>146</v>
      </c>
      <c r="C13" s="13" t="s">
        <v>744</v>
      </c>
      <c r="D13" s="289">
        <v>1400</v>
      </c>
      <c r="F13" s="258">
        <f t="shared" ref="F13:F20" si="1">+CEILING((E13*D13),5)</f>
        <v>0</v>
      </c>
    </row>
    <row r="14" spans="2:6" ht="45">
      <c r="B14" s="318" t="s">
        <v>146</v>
      </c>
      <c r="C14" s="13" t="s">
        <v>745</v>
      </c>
      <c r="D14" s="289">
        <v>1600</v>
      </c>
      <c r="F14" s="258">
        <f t="shared" si="1"/>
        <v>0</v>
      </c>
    </row>
    <row r="15" spans="2:6" ht="45">
      <c r="B15" s="318" t="s">
        <v>146</v>
      </c>
      <c r="C15" s="13" t="s">
        <v>746</v>
      </c>
      <c r="D15" s="289">
        <v>2210</v>
      </c>
      <c r="F15" s="258">
        <f t="shared" si="1"/>
        <v>0</v>
      </c>
    </row>
    <row r="16" spans="2:6">
      <c r="B16" s="318" t="s">
        <v>597</v>
      </c>
      <c r="C16" s="13" t="s">
        <v>747</v>
      </c>
      <c r="D16" s="289">
        <v>10</v>
      </c>
      <c r="E16" s="252">
        <v>53</v>
      </c>
      <c r="F16" s="258">
        <f t="shared" si="1"/>
        <v>530</v>
      </c>
    </row>
    <row r="17" spans="2:6">
      <c r="B17" s="318" t="s">
        <v>597</v>
      </c>
      <c r="C17" s="13" t="s">
        <v>748</v>
      </c>
      <c r="D17" s="289">
        <v>7</v>
      </c>
      <c r="F17" s="258">
        <f t="shared" si="1"/>
        <v>0</v>
      </c>
    </row>
    <row r="18" spans="2:6">
      <c r="B18" s="318" t="s">
        <v>146</v>
      </c>
      <c r="C18" s="13" t="s">
        <v>742</v>
      </c>
      <c r="D18" s="289">
        <v>80</v>
      </c>
      <c r="F18" s="258">
        <f t="shared" si="1"/>
        <v>0</v>
      </c>
    </row>
    <row r="19" spans="2:6" ht="30">
      <c r="B19" s="318" t="s">
        <v>146</v>
      </c>
      <c r="C19" s="13" t="s">
        <v>749</v>
      </c>
      <c r="D19" s="289">
        <v>185</v>
      </c>
      <c r="E19" s="252">
        <v>3</v>
      </c>
      <c r="F19" s="258">
        <f t="shared" si="1"/>
        <v>555</v>
      </c>
    </row>
    <row r="20" spans="2:6" ht="30">
      <c r="B20" s="318" t="s">
        <v>146</v>
      </c>
      <c r="C20" s="13" t="s">
        <v>750</v>
      </c>
      <c r="D20" s="289">
        <v>510</v>
      </c>
      <c r="E20" s="252">
        <v>5</v>
      </c>
      <c r="F20" s="258">
        <f t="shared" si="1"/>
        <v>2550</v>
      </c>
    </row>
    <row r="21" spans="2:6">
      <c r="B21" s="277"/>
      <c r="C21"/>
      <c r="D21" s="289"/>
      <c r="E21" s="18" t="s">
        <v>568</v>
      </c>
      <c r="F21" s="279">
        <f>SUM(F13:F20)</f>
        <v>3635</v>
      </c>
    </row>
    <row r="22" spans="2:6">
      <c r="B22" s="277"/>
      <c r="C22" s="306" t="s">
        <v>751</v>
      </c>
      <c r="D22" s="289"/>
      <c r="E22"/>
      <c r="F22" s="258"/>
    </row>
    <row r="23" spans="2:6">
      <c r="B23" s="318" t="s">
        <v>564</v>
      </c>
      <c r="C23" s="13" t="s">
        <v>752</v>
      </c>
      <c r="D23" s="289">
        <v>50</v>
      </c>
      <c r="F23" s="258">
        <f t="shared" ref="F23:F24" si="2">+CEILING((E23*D23),5)</f>
        <v>0</v>
      </c>
    </row>
    <row r="24" spans="2:6" ht="30">
      <c r="B24" s="318" t="s">
        <v>564</v>
      </c>
      <c r="C24" s="13" t="s">
        <v>753</v>
      </c>
      <c r="D24" s="289">
        <v>20</v>
      </c>
      <c r="F24" s="258">
        <f t="shared" si="2"/>
        <v>0</v>
      </c>
    </row>
    <row r="25" spans="2:6" ht="15.75" thickBot="1">
      <c r="B25" s="281"/>
      <c r="C25" s="268"/>
      <c r="D25" s="299"/>
      <c r="E25" s="300" t="s">
        <v>568</v>
      </c>
      <c r="F25" s="309">
        <f>SUM(F23:F24)</f>
        <v>0</v>
      </c>
    </row>
  </sheetData>
  <sheetProtection algorithmName="SHA-512" hashValue="vX8AENezIOBV+hS/qHAhx20UWzSlot3reScmWD7GBMhhV39ZQgx860OWb2xVQPBWDVKvHRArBc62TzEWI8rw2g==" saltValue="bgjchIeOeexD56m5PmyEsg==" spinCount="100000" sheet="1" objects="1" scenarios="1"/>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1362D-5199-4E86-BB71-2DCB6D0BCFC4}">
  <sheetPr codeName="Sheet16"/>
  <dimension ref="B1:F16"/>
  <sheetViews>
    <sheetView workbookViewId="0">
      <selection activeCell="E14" sqref="E14"/>
    </sheetView>
  </sheetViews>
  <sheetFormatPr defaultColWidth="9.140625" defaultRowHeight="15"/>
  <cols>
    <col min="1" max="1" width="9.140625" style="252"/>
    <col min="2" max="2" width="9.140625" style="284"/>
    <col min="3" max="3" width="40" style="252" bestFit="1" customWidth="1"/>
    <col min="4" max="4" width="9.140625" style="310"/>
    <col min="5" max="5" width="11.28515625" style="252" bestFit="1" customWidth="1"/>
    <col min="6" max="6" width="9.140625" style="310"/>
    <col min="7" max="16384" width="9.140625" style="252"/>
  </cols>
  <sheetData>
    <row r="1" spans="2:6" customFormat="1"/>
    <row r="2" spans="2:6" customFormat="1" ht="15.75">
      <c r="B2" s="251" t="s">
        <v>543</v>
      </c>
    </row>
    <row r="3" spans="2:6" customFormat="1"/>
    <row r="4" spans="2:6" ht="19.5" thickBot="1">
      <c r="B4" s="271" t="s">
        <v>134</v>
      </c>
      <c r="C4" s="311" t="s">
        <v>754</v>
      </c>
      <c r="D4" s="294" t="s">
        <v>561</v>
      </c>
      <c r="E4" s="107" t="s">
        <v>562</v>
      </c>
      <c r="F4" s="294" t="s">
        <v>578</v>
      </c>
    </row>
    <row r="5" spans="2:6">
      <c r="B5" s="273"/>
      <c r="C5" s="274" t="s">
        <v>3</v>
      </c>
      <c r="D5" s="296"/>
      <c r="E5" s="275"/>
      <c r="F5" s="276"/>
    </row>
    <row r="6" spans="2:6">
      <c r="B6" s="277" t="s">
        <v>705</v>
      </c>
      <c r="C6" t="s">
        <v>755</v>
      </c>
      <c r="D6" s="289">
        <v>60</v>
      </c>
      <c r="F6" s="258">
        <f>+CEILING((E6*D6*1.1),5)</f>
        <v>0</v>
      </c>
    </row>
    <row r="7" spans="2:6">
      <c r="B7" s="277" t="s">
        <v>705</v>
      </c>
      <c r="C7" t="s">
        <v>756</v>
      </c>
      <c r="D7" s="289">
        <v>75</v>
      </c>
      <c r="F7" s="258">
        <f>+CEILING((E7*D7*1.1),5)</f>
        <v>0</v>
      </c>
    </row>
    <row r="8" spans="2:6">
      <c r="B8" s="277"/>
      <c r="C8"/>
      <c r="D8" s="289"/>
      <c r="E8" s="18" t="s">
        <v>568</v>
      </c>
      <c r="F8" s="279">
        <f>SUM(F6:F7)</f>
        <v>0</v>
      </c>
    </row>
    <row r="9" spans="2:6">
      <c r="B9" s="277"/>
      <c r="C9" s="280" t="s">
        <v>757</v>
      </c>
      <c r="D9" s="289"/>
      <c r="E9"/>
      <c r="F9" s="258"/>
    </row>
    <row r="10" spans="2:6">
      <c r="B10" s="277" t="s">
        <v>705</v>
      </c>
      <c r="C10" t="s">
        <v>758</v>
      </c>
      <c r="D10" s="289">
        <v>103</v>
      </c>
      <c r="E10" s="252">
        <v>-79.67</v>
      </c>
      <c r="F10" s="258">
        <f>+CEILING((E10*D10*1.1),5)</f>
        <v>-9025</v>
      </c>
    </row>
    <row r="11" spans="2:6">
      <c r="B11" s="277"/>
      <c r="C11"/>
      <c r="D11" s="289"/>
      <c r="E11" s="18" t="s">
        <v>568</v>
      </c>
      <c r="F11" s="279">
        <f>SUM(F10:F10)</f>
        <v>-9025</v>
      </c>
    </row>
    <row r="12" spans="2:6">
      <c r="B12" s="277"/>
      <c r="C12" s="280" t="s">
        <v>759</v>
      </c>
      <c r="D12" s="289"/>
      <c r="E12"/>
      <c r="F12" s="258"/>
    </row>
    <row r="13" spans="2:6">
      <c r="B13" s="277" t="s">
        <v>705</v>
      </c>
      <c r="C13" t="s">
        <v>760</v>
      </c>
      <c r="D13" s="289">
        <v>139</v>
      </c>
      <c r="E13" s="252">
        <v>79.67</v>
      </c>
      <c r="F13" s="258">
        <f t="shared" ref="F13:F14" si="0">+CEILING((E13*D13*1.1),5)</f>
        <v>12185</v>
      </c>
    </row>
    <row r="14" spans="2:6">
      <c r="B14" s="277" t="s">
        <v>705</v>
      </c>
      <c r="C14" t="s">
        <v>761</v>
      </c>
      <c r="D14" s="289">
        <v>152</v>
      </c>
      <c r="F14" s="258">
        <f t="shared" si="0"/>
        <v>0</v>
      </c>
    </row>
    <row r="15" spans="2:6">
      <c r="B15" s="277"/>
      <c r="C15"/>
      <c r="D15" s="289"/>
      <c r="E15" s="18" t="s">
        <v>568</v>
      </c>
      <c r="F15" s="279">
        <f>SUM(F13:F14)</f>
        <v>12185</v>
      </c>
    </row>
    <row r="16" spans="2:6" ht="15.75" thickBot="1">
      <c r="B16" s="281"/>
      <c r="C16" s="268"/>
      <c r="D16" s="299"/>
      <c r="E16" s="300" t="s">
        <v>576</v>
      </c>
      <c r="F16" s="283">
        <f>+F15+F11+F8</f>
        <v>3160</v>
      </c>
    </row>
  </sheetData>
  <sheetProtection algorithmName="SHA-512" hashValue="ZfUJ3kTZGU5LsG4IHoBkaHsdDZRiiHAys6PoSbWBKHa1DBHN+Ue4YTHOX9a7V2k/yucckwfSytpB3RiL/Yib5w==" saltValue="623bZSNlQdN2veTRNxpHQA==" spinCount="100000" sheet="1" objects="1" scenarios="1"/>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4691B-2B1B-4E27-8FB5-10AC07B85159}">
  <sheetPr codeName="Sheet17"/>
  <dimension ref="B1:M38"/>
  <sheetViews>
    <sheetView workbookViewId="0">
      <selection activeCell="F37" sqref="F37"/>
    </sheetView>
  </sheetViews>
  <sheetFormatPr defaultColWidth="9.140625" defaultRowHeight="15"/>
  <cols>
    <col min="1" max="1" width="9.140625" style="252"/>
    <col min="2" max="2" width="9.140625" style="284"/>
    <col min="3" max="3" width="22.85546875" style="252" bestFit="1" customWidth="1"/>
    <col min="4" max="5" width="9.140625" style="252"/>
    <col min="6" max="6" width="11.28515625" style="252" bestFit="1" customWidth="1"/>
    <col min="7" max="7" width="12.140625" style="252" bestFit="1" customWidth="1"/>
    <col min="8" max="11" width="9.140625" style="252"/>
    <col min="12" max="12" width="32" style="252" customWidth="1"/>
    <col min="13" max="16384" width="9.140625" style="252"/>
  </cols>
  <sheetData>
    <row r="1" spans="2:13" customFormat="1"/>
    <row r="2" spans="2:13" customFormat="1" ht="15.75">
      <c r="B2" s="251" t="s">
        <v>543</v>
      </c>
    </row>
    <row r="3" spans="2:13" customFormat="1"/>
    <row r="4" spans="2:13" ht="19.5" thickBot="1">
      <c r="B4" s="320" t="s">
        <v>134</v>
      </c>
      <c r="C4" s="321" t="s">
        <v>762</v>
      </c>
      <c r="D4" s="3"/>
      <c r="E4" s="294" t="s">
        <v>561</v>
      </c>
      <c r="F4" s="107" t="s">
        <v>562</v>
      </c>
      <c r="G4" s="294" t="s">
        <v>578</v>
      </c>
    </row>
    <row r="5" spans="2:13" ht="18.75">
      <c r="B5" s="322"/>
      <c r="C5" s="323" t="s">
        <v>763</v>
      </c>
      <c r="D5" s="324"/>
      <c r="E5" s="325"/>
      <c r="F5" s="326"/>
      <c r="G5" s="327"/>
      <c r="K5" s="328"/>
      <c r="L5" s="329"/>
      <c r="M5" s="330"/>
    </row>
    <row r="6" spans="2:13">
      <c r="B6" s="331" t="s">
        <v>146</v>
      </c>
      <c r="C6" s="799" t="s">
        <v>764</v>
      </c>
      <c r="D6" s="799"/>
      <c r="E6" s="523">
        <v>119</v>
      </c>
      <c r="F6" s="333"/>
      <c r="G6" s="334">
        <f>+F6*E6</f>
        <v>0</v>
      </c>
      <c r="K6" s="335"/>
      <c r="L6" s="336"/>
      <c r="M6" s="337"/>
    </row>
    <row r="7" spans="2:13" ht="15" customHeight="1">
      <c r="B7" s="331" t="s">
        <v>146</v>
      </c>
      <c r="C7" s="799" t="s">
        <v>765</v>
      </c>
      <c r="D7" s="799"/>
      <c r="E7" s="523">
        <v>154</v>
      </c>
      <c r="F7" s="333"/>
      <c r="G7" s="334">
        <f t="shared" ref="G7:G18" si="0">+F7*E7</f>
        <v>0</v>
      </c>
      <c r="K7" s="335"/>
      <c r="L7" s="800"/>
      <c r="M7" s="800"/>
    </row>
    <row r="8" spans="2:13" ht="15" customHeight="1">
      <c r="B8" s="331" t="s">
        <v>146</v>
      </c>
      <c r="C8" s="799" t="s">
        <v>766</v>
      </c>
      <c r="D8" s="799"/>
      <c r="E8" s="523">
        <v>164</v>
      </c>
      <c r="F8" s="333"/>
      <c r="G8" s="334">
        <f t="shared" si="0"/>
        <v>0</v>
      </c>
      <c r="K8" s="335"/>
      <c r="L8" s="800"/>
      <c r="M8" s="800"/>
    </row>
    <row r="9" spans="2:13" ht="15" customHeight="1">
      <c r="B9" s="331" t="s">
        <v>146</v>
      </c>
      <c r="C9" s="799" t="s">
        <v>767</v>
      </c>
      <c r="D9" s="799"/>
      <c r="E9" s="523">
        <v>178</v>
      </c>
      <c r="F9" s="333"/>
      <c r="G9" s="334">
        <f t="shared" si="0"/>
        <v>0</v>
      </c>
      <c r="K9" s="335"/>
      <c r="L9" s="800"/>
      <c r="M9" s="800"/>
    </row>
    <row r="10" spans="2:13" ht="15" customHeight="1">
      <c r="B10" s="331" t="s">
        <v>146</v>
      </c>
      <c r="C10" s="799" t="s">
        <v>768</v>
      </c>
      <c r="D10" s="799"/>
      <c r="E10" s="523">
        <v>148</v>
      </c>
      <c r="F10" s="333"/>
      <c r="G10" s="334">
        <f t="shared" si="0"/>
        <v>0</v>
      </c>
      <c r="K10" s="335"/>
      <c r="L10" s="800"/>
      <c r="M10" s="800"/>
    </row>
    <row r="11" spans="2:13" ht="15" customHeight="1">
      <c r="B11" s="331" t="s">
        <v>146</v>
      </c>
      <c r="C11" s="799" t="s">
        <v>769</v>
      </c>
      <c r="D11" s="799"/>
      <c r="E11" s="523">
        <v>178</v>
      </c>
      <c r="F11" s="333"/>
      <c r="G11" s="334">
        <f t="shared" si="0"/>
        <v>0</v>
      </c>
      <c r="K11" s="335"/>
      <c r="L11" s="800"/>
      <c r="M11" s="800"/>
    </row>
    <row r="12" spans="2:13" ht="15" customHeight="1">
      <c r="B12" s="331" t="s">
        <v>146</v>
      </c>
      <c r="C12" s="799" t="s">
        <v>770</v>
      </c>
      <c r="D12" s="799"/>
      <c r="E12" s="523">
        <v>220</v>
      </c>
      <c r="F12" s="333"/>
      <c r="G12" s="334">
        <f t="shared" si="0"/>
        <v>0</v>
      </c>
      <c r="K12" s="335"/>
      <c r="L12" s="800"/>
      <c r="M12" s="800"/>
    </row>
    <row r="13" spans="2:13" ht="15" customHeight="1">
      <c r="B13" s="331" t="s">
        <v>146</v>
      </c>
      <c r="C13" s="799" t="s">
        <v>771</v>
      </c>
      <c r="D13" s="799"/>
      <c r="E13" s="523">
        <v>255</v>
      </c>
      <c r="F13" s="333"/>
      <c r="G13" s="334">
        <f t="shared" si="0"/>
        <v>0</v>
      </c>
      <c r="K13" s="335"/>
      <c r="L13" s="800"/>
      <c r="M13" s="800"/>
    </row>
    <row r="14" spans="2:13" ht="15" customHeight="1">
      <c r="B14" s="331" t="s">
        <v>146</v>
      </c>
      <c r="C14" s="799" t="s">
        <v>772</v>
      </c>
      <c r="D14" s="799"/>
      <c r="E14" s="523">
        <v>208</v>
      </c>
      <c r="F14" s="333"/>
      <c r="G14" s="334">
        <f t="shared" si="0"/>
        <v>0</v>
      </c>
      <c r="K14" s="335"/>
      <c r="L14" s="800"/>
      <c r="M14" s="800"/>
    </row>
    <row r="15" spans="2:13" ht="15" customHeight="1">
      <c r="B15" s="331" t="s">
        <v>146</v>
      </c>
      <c r="C15" s="799" t="s">
        <v>773</v>
      </c>
      <c r="D15" s="799"/>
      <c r="E15" s="523">
        <v>233</v>
      </c>
      <c r="F15" s="333"/>
      <c r="G15" s="334">
        <f t="shared" si="0"/>
        <v>0</v>
      </c>
      <c r="K15" s="335"/>
      <c r="L15" s="800"/>
      <c r="M15" s="800"/>
    </row>
    <row r="16" spans="2:13" ht="15" customHeight="1">
      <c r="B16" s="331" t="s">
        <v>146</v>
      </c>
      <c r="C16" s="799" t="s">
        <v>774</v>
      </c>
      <c r="D16" s="799"/>
      <c r="E16" s="523">
        <v>283</v>
      </c>
      <c r="F16" s="333"/>
      <c r="G16" s="334">
        <f t="shared" si="0"/>
        <v>0</v>
      </c>
      <c r="K16" s="335"/>
      <c r="L16" s="800"/>
      <c r="M16" s="800"/>
    </row>
    <row r="17" spans="2:13" ht="15" customHeight="1">
      <c r="B17" s="331" t="s">
        <v>146</v>
      </c>
      <c r="C17" s="799" t="s">
        <v>775</v>
      </c>
      <c r="D17" s="799"/>
      <c r="E17" s="523">
        <v>305</v>
      </c>
      <c r="F17" s="333"/>
      <c r="G17" s="334">
        <f t="shared" si="0"/>
        <v>0</v>
      </c>
      <c r="K17" s="335"/>
      <c r="L17" s="800"/>
      <c r="M17" s="800"/>
    </row>
    <row r="18" spans="2:13" ht="15" customHeight="1">
      <c r="B18" s="331" t="s">
        <v>146</v>
      </c>
      <c r="C18" s="799" t="s">
        <v>776</v>
      </c>
      <c r="D18" s="799"/>
      <c r="E18" s="523">
        <v>356</v>
      </c>
      <c r="F18" s="333"/>
      <c r="G18" s="334">
        <f t="shared" si="0"/>
        <v>0</v>
      </c>
      <c r="K18" s="335"/>
      <c r="L18" s="800"/>
      <c r="M18" s="800"/>
    </row>
    <row r="19" spans="2:13" ht="15" customHeight="1">
      <c r="B19" s="331"/>
      <c r="C19" s="338"/>
      <c r="D19" s="338"/>
      <c r="E19" s="332"/>
      <c r="F19" s="339" t="s">
        <v>568</v>
      </c>
      <c r="G19" s="340">
        <f>SUM(G6:G18)</f>
        <v>0</v>
      </c>
      <c r="K19" s="335"/>
      <c r="L19" s="800"/>
      <c r="M19" s="800"/>
    </row>
    <row r="20" spans="2:13">
      <c r="B20" s="331"/>
      <c r="C20" s="341" t="s">
        <v>777</v>
      </c>
      <c r="D20" s="342"/>
      <c r="E20" s="343"/>
      <c r="F20" s="344"/>
      <c r="G20" s="334"/>
      <c r="K20" s="335"/>
      <c r="L20" s="345"/>
      <c r="M20" s="345"/>
    </row>
    <row r="21" spans="2:13">
      <c r="B21" s="331" t="s">
        <v>146</v>
      </c>
      <c r="C21" s="799" t="s">
        <v>778</v>
      </c>
      <c r="D21" s="799"/>
      <c r="E21" s="523">
        <v>132</v>
      </c>
      <c r="F21" s="333"/>
      <c r="G21" s="334">
        <f t="shared" ref="G21:G33" si="1">+F21*E21</f>
        <v>0</v>
      </c>
      <c r="K21" s="335"/>
      <c r="L21" s="336"/>
      <c r="M21" s="337"/>
    </row>
    <row r="22" spans="2:13" ht="15" customHeight="1">
      <c r="B22" s="331" t="s">
        <v>146</v>
      </c>
      <c r="C22" s="799" t="s">
        <v>779</v>
      </c>
      <c r="D22" s="799"/>
      <c r="E22" s="523">
        <v>168</v>
      </c>
      <c r="F22" s="333"/>
      <c r="G22" s="334">
        <f t="shared" si="1"/>
        <v>0</v>
      </c>
      <c r="K22" s="335"/>
      <c r="L22" s="800"/>
      <c r="M22" s="800"/>
    </row>
    <row r="23" spans="2:13" ht="15" customHeight="1">
      <c r="B23" s="331" t="s">
        <v>146</v>
      </c>
      <c r="C23" s="799" t="s">
        <v>780</v>
      </c>
      <c r="D23" s="799"/>
      <c r="E23" s="523">
        <v>182</v>
      </c>
      <c r="F23" s="333"/>
      <c r="G23" s="334">
        <f t="shared" si="1"/>
        <v>0</v>
      </c>
      <c r="K23" s="335"/>
      <c r="L23" s="800"/>
      <c r="M23" s="800"/>
    </row>
    <row r="24" spans="2:13" ht="15" customHeight="1">
      <c r="B24" s="331" t="s">
        <v>146</v>
      </c>
      <c r="C24" s="799" t="s">
        <v>781</v>
      </c>
      <c r="D24" s="799"/>
      <c r="E24" s="523">
        <v>220</v>
      </c>
      <c r="F24" s="333"/>
      <c r="G24" s="334">
        <f t="shared" si="1"/>
        <v>0</v>
      </c>
      <c r="K24" s="335"/>
      <c r="L24" s="800"/>
      <c r="M24" s="800"/>
    </row>
    <row r="25" spans="2:13" ht="15" customHeight="1">
      <c r="B25" s="331" t="s">
        <v>146</v>
      </c>
      <c r="C25" s="799" t="s">
        <v>782</v>
      </c>
      <c r="D25" s="799"/>
      <c r="E25" s="523">
        <v>163</v>
      </c>
      <c r="F25" s="333"/>
      <c r="G25" s="334">
        <f t="shared" si="1"/>
        <v>0</v>
      </c>
      <c r="K25" s="335"/>
      <c r="L25" s="800"/>
      <c r="M25" s="800"/>
    </row>
    <row r="26" spans="2:13" ht="15" customHeight="1">
      <c r="B26" s="331" t="s">
        <v>146</v>
      </c>
      <c r="C26" s="799" t="s">
        <v>783</v>
      </c>
      <c r="D26" s="799"/>
      <c r="E26" s="523">
        <v>206</v>
      </c>
      <c r="F26" s="333"/>
      <c r="G26" s="334">
        <f t="shared" si="1"/>
        <v>0</v>
      </c>
      <c r="K26" s="335"/>
      <c r="L26" s="800"/>
      <c r="M26" s="800"/>
    </row>
    <row r="27" spans="2:13" ht="15" customHeight="1">
      <c r="B27" s="331" t="s">
        <v>146</v>
      </c>
      <c r="C27" s="799" t="s">
        <v>784</v>
      </c>
      <c r="D27" s="799"/>
      <c r="E27" s="523">
        <v>271</v>
      </c>
      <c r="F27" s="333"/>
      <c r="G27" s="334">
        <f t="shared" si="1"/>
        <v>0</v>
      </c>
      <c r="K27" s="335"/>
      <c r="L27" s="800"/>
      <c r="M27" s="800"/>
    </row>
    <row r="28" spans="2:13" ht="15" customHeight="1">
      <c r="B28" s="331" t="s">
        <v>146</v>
      </c>
      <c r="C28" s="799" t="s">
        <v>785</v>
      </c>
      <c r="D28" s="799"/>
      <c r="E28" s="523">
        <v>313</v>
      </c>
      <c r="F28" s="333"/>
      <c r="G28" s="334">
        <f t="shared" si="1"/>
        <v>0</v>
      </c>
      <c r="K28" s="335"/>
      <c r="L28" s="800"/>
      <c r="M28" s="800"/>
    </row>
    <row r="29" spans="2:13" ht="15" customHeight="1">
      <c r="B29" s="331" t="s">
        <v>146</v>
      </c>
      <c r="C29" s="799" t="s">
        <v>786</v>
      </c>
      <c r="D29" s="799"/>
      <c r="E29" s="523">
        <v>250</v>
      </c>
      <c r="F29" s="333"/>
      <c r="G29" s="334">
        <f t="shared" si="1"/>
        <v>0</v>
      </c>
      <c r="K29" s="335"/>
      <c r="L29" s="800"/>
      <c r="M29" s="800"/>
    </row>
    <row r="30" spans="2:13" ht="15" customHeight="1">
      <c r="B30" s="331" t="s">
        <v>146</v>
      </c>
      <c r="C30" s="799" t="s">
        <v>787</v>
      </c>
      <c r="D30" s="799"/>
      <c r="E30" s="523">
        <v>301</v>
      </c>
      <c r="F30" s="333"/>
      <c r="G30" s="334">
        <f t="shared" si="1"/>
        <v>0</v>
      </c>
      <c r="K30" s="335"/>
      <c r="L30" s="800"/>
      <c r="M30" s="800"/>
    </row>
    <row r="31" spans="2:13" ht="15" customHeight="1">
      <c r="B31" s="331" t="s">
        <v>146</v>
      </c>
      <c r="C31" s="799" t="s">
        <v>788</v>
      </c>
      <c r="D31" s="799"/>
      <c r="E31" s="523">
        <v>349</v>
      </c>
      <c r="F31" s="333"/>
      <c r="G31" s="334">
        <f t="shared" si="1"/>
        <v>0</v>
      </c>
      <c r="K31" s="335"/>
      <c r="L31" s="800"/>
      <c r="M31" s="800"/>
    </row>
    <row r="32" spans="2:13" ht="15" customHeight="1">
      <c r="B32" s="331" t="s">
        <v>146</v>
      </c>
      <c r="C32" s="799" t="s">
        <v>789</v>
      </c>
      <c r="D32" s="799"/>
      <c r="E32" s="523">
        <v>398</v>
      </c>
      <c r="F32" s="333"/>
      <c r="G32" s="334">
        <f t="shared" si="1"/>
        <v>0</v>
      </c>
      <c r="K32" s="335"/>
      <c r="L32" s="800"/>
      <c r="M32" s="800"/>
    </row>
    <row r="33" spans="2:13" ht="15" customHeight="1">
      <c r="B33" s="331" t="s">
        <v>146</v>
      </c>
      <c r="C33" s="799" t="s">
        <v>790</v>
      </c>
      <c r="D33" s="799"/>
      <c r="E33" s="523">
        <v>441</v>
      </c>
      <c r="F33" s="333"/>
      <c r="G33" s="334">
        <f t="shared" si="1"/>
        <v>0</v>
      </c>
      <c r="K33" s="335"/>
      <c r="L33" s="800"/>
      <c r="M33" s="800"/>
    </row>
    <row r="34" spans="2:13" ht="15" customHeight="1">
      <c r="B34" s="331"/>
      <c r="C34" s="338"/>
      <c r="D34" s="338"/>
      <c r="E34" s="332"/>
      <c r="F34" s="339" t="s">
        <v>568</v>
      </c>
      <c r="G34" s="340">
        <f>SUM(G21:G33)</f>
        <v>0</v>
      </c>
      <c r="K34" s="335"/>
      <c r="L34" s="800"/>
      <c r="M34" s="800"/>
    </row>
    <row r="35" spans="2:13">
      <c r="B35" s="331"/>
      <c r="C35" s="341" t="s">
        <v>791</v>
      </c>
      <c r="D35" s="342"/>
      <c r="E35" s="343"/>
      <c r="F35" s="344"/>
      <c r="G35" s="346"/>
      <c r="K35" s="335"/>
      <c r="L35" s="345"/>
      <c r="M35" s="345"/>
    </row>
    <row r="36" spans="2:13">
      <c r="B36" s="331" t="s">
        <v>146</v>
      </c>
      <c r="C36" s="799" t="s">
        <v>791</v>
      </c>
      <c r="D36" s="799"/>
      <c r="E36" s="332">
        <v>200</v>
      </c>
      <c r="F36" s="333">
        <v>1</v>
      </c>
      <c r="G36" s="334">
        <f>+F36*E36</f>
        <v>200</v>
      </c>
      <c r="K36" s="335"/>
      <c r="L36" s="336"/>
      <c r="M36" s="337"/>
    </row>
    <row r="37" spans="2:13" ht="15.75" customHeight="1" thickBot="1">
      <c r="B37" s="347"/>
      <c r="C37" s="348"/>
      <c r="D37" s="349"/>
      <c r="E37" s="350"/>
      <c r="F37" s="349" t="s">
        <v>792</v>
      </c>
      <c r="G37" s="351">
        <f>+CEILING((G36+G34+G19),5)</f>
        <v>200</v>
      </c>
      <c r="K37" s="335"/>
      <c r="L37" s="800"/>
      <c r="M37" s="800"/>
    </row>
    <row r="38" spans="2:13">
      <c r="K38" s="352"/>
      <c r="L38" s="333"/>
      <c r="M38" s="353"/>
    </row>
  </sheetData>
  <sheetProtection algorithmName="SHA-512" hashValue="6XlxAqFf31za/1Bwy1+Zbwv79KoJbKw5qgCX6xPyqLdef0GYFDRgcAvbUunANcyvNWx8wBLNunmKkeus0478hQ==" saltValue="qDdB0LY0xyKcF/E++I3GoA==" spinCount="100000" sheet="1" objects="1" scenarios="1"/>
  <mergeCells count="54">
    <mergeCell ref="C9:D9"/>
    <mergeCell ref="L9:M9"/>
    <mergeCell ref="C6:D6"/>
    <mergeCell ref="C7:D7"/>
    <mergeCell ref="L7:M7"/>
    <mergeCell ref="C8:D8"/>
    <mergeCell ref="L8:M8"/>
    <mergeCell ref="C10:D10"/>
    <mergeCell ref="L10:M10"/>
    <mergeCell ref="C11:D11"/>
    <mergeCell ref="L11:M11"/>
    <mergeCell ref="C12:D12"/>
    <mergeCell ref="L12:M12"/>
    <mergeCell ref="C13:D13"/>
    <mergeCell ref="L13:M13"/>
    <mergeCell ref="C14:D14"/>
    <mergeCell ref="L14:M14"/>
    <mergeCell ref="C15:D15"/>
    <mergeCell ref="L15:M15"/>
    <mergeCell ref="C16:D16"/>
    <mergeCell ref="L16:M16"/>
    <mergeCell ref="C17:D17"/>
    <mergeCell ref="L17:M17"/>
    <mergeCell ref="C18:D18"/>
    <mergeCell ref="L18:M18"/>
    <mergeCell ref="L19:M19"/>
    <mergeCell ref="C21:D21"/>
    <mergeCell ref="C22:D22"/>
    <mergeCell ref="L22:M22"/>
    <mergeCell ref="C23:D23"/>
    <mergeCell ref="L23:M23"/>
    <mergeCell ref="C24:D24"/>
    <mergeCell ref="L24:M24"/>
    <mergeCell ref="C25:D25"/>
    <mergeCell ref="L25:M25"/>
    <mergeCell ref="C26:D26"/>
    <mergeCell ref="L26:M26"/>
    <mergeCell ref="C27:D27"/>
    <mergeCell ref="L27:M27"/>
    <mergeCell ref="C28:D28"/>
    <mergeCell ref="L28:M28"/>
    <mergeCell ref="C29:D29"/>
    <mergeCell ref="L29:M29"/>
    <mergeCell ref="C30:D30"/>
    <mergeCell ref="L30:M30"/>
    <mergeCell ref="C31:D31"/>
    <mergeCell ref="L31:M31"/>
    <mergeCell ref="C32:D32"/>
    <mergeCell ref="L32:M32"/>
    <mergeCell ref="C33:D33"/>
    <mergeCell ref="L33:M33"/>
    <mergeCell ref="L34:M34"/>
    <mergeCell ref="C36:D36"/>
    <mergeCell ref="L37:M37"/>
  </mergeCells>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0EC78-851C-4678-9676-6BBD6DE6557E}">
  <sheetPr codeName="Sheet18"/>
  <dimension ref="B1:F40"/>
  <sheetViews>
    <sheetView topLeftCell="A8" zoomScale="115" zoomScaleNormal="115" workbookViewId="0">
      <selection activeCell="C14" sqref="C14"/>
    </sheetView>
  </sheetViews>
  <sheetFormatPr defaultColWidth="9.140625" defaultRowHeight="15"/>
  <cols>
    <col min="1" max="1" width="9.140625" style="252"/>
    <col min="2" max="2" width="9.140625" style="284"/>
    <col min="3" max="3" width="74.140625" style="252" bestFit="1" customWidth="1"/>
    <col min="4" max="4" width="10.5703125" style="310" bestFit="1" customWidth="1"/>
    <col min="5" max="5" width="11.28515625" style="252" bestFit="1" customWidth="1"/>
    <col min="6" max="6" width="14.7109375" style="310" customWidth="1"/>
    <col min="7" max="16384" width="9.140625" style="252"/>
  </cols>
  <sheetData>
    <row r="1" spans="2:6" customFormat="1"/>
    <row r="2" spans="2:6" customFormat="1" ht="15.75">
      <c r="B2" s="251" t="s">
        <v>543</v>
      </c>
    </row>
    <row r="3" spans="2:6" customFormat="1"/>
    <row r="4" spans="2:6" ht="19.5" thickBot="1">
      <c r="B4" s="271" t="s">
        <v>134</v>
      </c>
      <c r="C4" s="311" t="s">
        <v>793</v>
      </c>
      <c r="D4" s="294" t="s">
        <v>561</v>
      </c>
      <c r="E4" s="107" t="s">
        <v>562</v>
      </c>
      <c r="F4" s="294" t="s">
        <v>578</v>
      </c>
    </row>
    <row r="5" spans="2:6">
      <c r="B5" s="273"/>
      <c r="C5" s="274" t="s">
        <v>794</v>
      </c>
      <c r="D5" s="296"/>
      <c r="E5" s="275"/>
      <c r="F5" s="276"/>
    </row>
    <row r="6" spans="2:6">
      <c r="B6" s="277"/>
      <c r="C6" t="s">
        <v>795</v>
      </c>
      <c r="D6" s="354" t="s">
        <v>236</v>
      </c>
      <c r="E6"/>
      <c r="F6" s="258"/>
    </row>
    <row r="7" spans="2:6">
      <c r="B7" s="277"/>
      <c r="C7"/>
      <c r="D7" s="289"/>
      <c r="E7"/>
      <c r="F7" s="258"/>
    </row>
    <row r="8" spans="2:6">
      <c r="B8" s="277"/>
      <c r="C8" s="280" t="s">
        <v>796</v>
      </c>
      <c r="D8" s="289"/>
      <c r="E8"/>
      <c r="F8" s="258"/>
    </row>
    <row r="9" spans="2:6">
      <c r="B9" s="277" t="s">
        <v>705</v>
      </c>
      <c r="C9" t="s">
        <v>797</v>
      </c>
      <c r="D9" s="355">
        <v>140</v>
      </c>
      <c r="F9" s="258">
        <f>+E9*D9</f>
        <v>0</v>
      </c>
    </row>
    <row r="10" spans="2:6">
      <c r="B10" s="277" t="s">
        <v>705</v>
      </c>
      <c r="C10" t="s">
        <v>798</v>
      </c>
      <c r="D10" s="289">
        <v>190</v>
      </c>
      <c r="F10" s="258">
        <f t="shared" ref="F10:F15" si="0">+E10*D10</f>
        <v>0</v>
      </c>
    </row>
    <row r="11" spans="2:6">
      <c r="B11" s="277" t="s">
        <v>143</v>
      </c>
      <c r="C11" t="s">
        <v>799</v>
      </c>
      <c r="D11" s="289">
        <v>80</v>
      </c>
      <c r="F11" s="258">
        <f t="shared" si="0"/>
        <v>0</v>
      </c>
    </row>
    <row r="12" spans="2:6">
      <c r="B12" s="277" t="s">
        <v>143</v>
      </c>
      <c r="C12" t="s">
        <v>800</v>
      </c>
      <c r="D12" s="289">
        <v>130</v>
      </c>
      <c r="F12" s="258">
        <f t="shared" si="0"/>
        <v>0</v>
      </c>
    </row>
    <row r="13" spans="2:6">
      <c r="B13" s="277" t="s">
        <v>146</v>
      </c>
      <c r="C13" t="s">
        <v>1205</v>
      </c>
      <c r="D13" s="289">
        <v>1950</v>
      </c>
      <c r="F13" s="258">
        <f t="shared" si="0"/>
        <v>0</v>
      </c>
    </row>
    <row r="14" spans="2:6">
      <c r="B14" s="277" t="s">
        <v>705</v>
      </c>
      <c r="C14" t="s">
        <v>801</v>
      </c>
      <c r="D14" s="289">
        <f>+D10</f>
        <v>190</v>
      </c>
      <c r="F14" s="258">
        <f t="shared" si="0"/>
        <v>0</v>
      </c>
    </row>
    <row r="15" spans="2:6">
      <c r="B15" s="277" t="s">
        <v>146</v>
      </c>
      <c r="C15" t="s">
        <v>802</v>
      </c>
      <c r="D15" s="289">
        <v>2450</v>
      </c>
      <c r="F15" s="258">
        <f t="shared" si="0"/>
        <v>0</v>
      </c>
    </row>
    <row r="16" spans="2:6">
      <c r="B16" s="277"/>
      <c r="C16"/>
      <c r="D16" s="289"/>
      <c r="E16" s="356" t="s">
        <v>568</v>
      </c>
      <c r="F16" s="279">
        <f>SUM(F9:F15)</f>
        <v>0</v>
      </c>
    </row>
    <row r="17" spans="2:6">
      <c r="B17" s="277"/>
      <c r="C17" s="280" t="s">
        <v>803</v>
      </c>
      <c r="D17" s="289"/>
      <c r="E17"/>
      <c r="F17" s="258"/>
    </row>
    <row r="18" spans="2:6">
      <c r="B18" s="277" t="s">
        <v>143</v>
      </c>
      <c r="C18" t="s">
        <v>804</v>
      </c>
      <c r="D18" s="289">
        <v>120</v>
      </c>
      <c r="F18" s="258">
        <f t="shared" ref="F18:F23" si="1">+E18*D18</f>
        <v>0</v>
      </c>
    </row>
    <row r="19" spans="2:6">
      <c r="B19" s="277" t="s">
        <v>143</v>
      </c>
      <c r="C19" t="s">
        <v>1336</v>
      </c>
      <c r="D19" s="289">
        <v>60</v>
      </c>
      <c r="F19" s="258">
        <f>+E19*D19</f>
        <v>0</v>
      </c>
    </row>
    <row r="20" spans="2:6" ht="30">
      <c r="B20" s="277" t="s">
        <v>143</v>
      </c>
      <c r="C20" s="13" t="s">
        <v>1337</v>
      </c>
      <c r="D20" s="289">
        <v>130</v>
      </c>
      <c r="F20" s="258">
        <f>+E20*D20</f>
        <v>0</v>
      </c>
    </row>
    <row r="21" spans="2:6" ht="30">
      <c r="B21" s="277" t="s">
        <v>143</v>
      </c>
      <c r="C21" s="13" t="s">
        <v>1338</v>
      </c>
      <c r="D21" s="289">
        <v>65</v>
      </c>
      <c r="F21" s="258">
        <f>+E21*D21</f>
        <v>0</v>
      </c>
    </row>
    <row r="22" spans="2:6">
      <c r="B22" s="277" t="s">
        <v>146</v>
      </c>
      <c r="C22" t="s">
        <v>805</v>
      </c>
      <c r="D22" s="289">
        <v>900</v>
      </c>
      <c r="F22" s="258">
        <f t="shared" si="1"/>
        <v>0</v>
      </c>
    </row>
    <row r="23" spans="2:6">
      <c r="B23" s="277" t="s">
        <v>146</v>
      </c>
      <c r="C23" t="s">
        <v>806</v>
      </c>
      <c r="D23" s="289">
        <v>1900</v>
      </c>
      <c r="F23" s="258">
        <f t="shared" si="1"/>
        <v>0</v>
      </c>
    </row>
    <row r="24" spans="2:6">
      <c r="B24" s="277"/>
      <c r="C24"/>
      <c r="D24" s="289"/>
      <c r="E24" s="18" t="s">
        <v>568</v>
      </c>
      <c r="F24" s="279">
        <f>SUM(F18:F23)</f>
        <v>0</v>
      </c>
    </row>
    <row r="25" spans="2:6">
      <c r="B25" s="277"/>
      <c r="C25" s="280" t="s">
        <v>807</v>
      </c>
      <c r="D25" s="289"/>
      <c r="E25"/>
      <c r="F25" s="258"/>
    </row>
    <row r="26" spans="2:6">
      <c r="B26" s="277" t="s">
        <v>808</v>
      </c>
      <c r="C26" t="s">
        <v>809</v>
      </c>
      <c r="D26" s="289">
        <v>190</v>
      </c>
      <c r="F26" s="258">
        <f>+E26*D26</f>
        <v>0</v>
      </c>
    </row>
    <row r="27" spans="2:6">
      <c r="B27" s="277"/>
      <c r="C27"/>
      <c r="D27" s="289"/>
      <c r="E27" s="18" t="s">
        <v>568</v>
      </c>
      <c r="F27" s="314">
        <f>SUM(F26)</f>
        <v>0</v>
      </c>
    </row>
    <row r="28" spans="2:6">
      <c r="B28" s="277"/>
      <c r="C28" s="280" t="s">
        <v>810</v>
      </c>
      <c r="D28" s="289"/>
      <c r="E28"/>
      <c r="F28" s="258"/>
    </row>
    <row r="29" spans="2:6">
      <c r="B29" s="277" t="s">
        <v>146</v>
      </c>
      <c r="C29" t="s">
        <v>811</v>
      </c>
      <c r="D29" s="289">
        <v>150</v>
      </c>
      <c r="F29" s="258">
        <f t="shared" ref="F29:F38" si="2">+E29*D29</f>
        <v>0</v>
      </c>
    </row>
    <row r="30" spans="2:6">
      <c r="B30" s="277" t="s">
        <v>146</v>
      </c>
      <c r="C30" t="s">
        <v>812</v>
      </c>
      <c r="D30" s="289">
        <v>950</v>
      </c>
      <c r="F30" s="258">
        <f t="shared" si="2"/>
        <v>0</v>
      </c>
    </row>
    <row r="31" spans="2:6">
      <c r="B31" s="277" t="s">
        <v>146</v>
      </c>
      <c r="C31" t="s">
        <v>813</v>
      </c>
      <c r="D31" s="289">
        <v>400</v>
      </c>
      <c r="F31" s="258">
        <f t="shared" si="2"/>
        <v>0</v>
      </c>
    </row>
    <row r="32" spans="2:6">
      <c r="B32" s="277" t="s">
        <v>146</v>
      </c>
      <c r="C32" t="s">
        <v>814</v>
      </c>
      <c r="D32" s="289">
        <v>350</v>
      </c>
      <c r="F32" s="258">
        <f t="shared" si="2"/>
        <v>0</v>
      </c>
    </row>
    <row r="33" spans="2:6">
      <c r="B33" s="277" t="s">
        <v>146</v>
      </c>
      <c r="C33" t="s">
        <v>815</v>
      </c>
      <c r="D33" s="289">
        <v>400</v>
      </c>
      <c r="F33" s="258">
        <f t="shared" si="2"/>
        <v>0</v>
      </c>
    </row>
    <row r="34" spans="2:6">
      <c r="B34" s="277" t="s">
        <v>146</v>
      </c>
      <c r="C34" t="s">
        <v>816</v>
      </c>
      <c r="D34" s="289">
        <v>550</v>
      </c>
      <c r="F34" s="258">
        <f t="shared" si="2"/>
        <v>0</v>
      </c>
    </row>
    <row r="35" spans="2:6">
      <c r="B35" s="277" t="s">
        <v>146</v>
      </c>
      <c r="C35" t="s">
        <v>817</v>
      </c>
      <c r="D35" s="289">
        <v>120</v>
      </c>
      <c r="F35" s="258">
        <f t="shared" si="2"/>
        <v>0</v>
      </c>
    </row>
    <row r="36" spans="2:6">
      <c r="B36" s="277" t="s">
        <v>146</v>
      </c>
      <c r="C36" t="s">
        <v>818</v>
      </c>
      <c r="D36" s="289">
        <v>270</v>
      </c>
      <c r="F36" s="258">
        <f t="shared" si="2"/>
        <v>0</v>
      </c>
    </row>
    <row r="37" spans="2:6">
      <c r="B37" s="277" t="s">
        <v>146</v>
      </c>
      <c r="C37" t="s">
        <v>819</v>
      </c>
      <c r="D37" s="289">
        <v>620</v>
      </c>
      <c r="F37" s="258">
        <f t="shared" si="2"/>
        <v>0</v>
      </c>
    </row>
    <row r="38" spans="2:6">
      <c r="B38" s="277" t="s">
        <v>146</v>
      </c>
      <c r="C38" t="s">
        <v>820</v>
      </c>
      <c r="D38" s="289">
        <v>800</v>
      </c>
      <c r="F38" s="258">
        <f t="shared" si="2"/>
        <v>0</v>
      </c>
    </row>
    <row r="39" spans="2:6">
      <c r="B39" s="277"/>
      <c r="C39"/>
      <c r="D39" s="289"/>
      <c r="E39" s="18" t="s">
        <v>568</v>
      </c>
      <c r="F39" s="279">
        <f>SUM(F29:F38)</f>
        <v>0</v>
      </c>
    </row>
    <row r="40" spans="2:6" ht="15.75" thickBot="1">
      <c r="B40" s="281"/>
      <c r="C40" s="268"/>
      <c r="D40" s="299"/>
      <c r="E40" s="300" t="s">
        <v>576</v>
      </c>
      <c r="F40" s="283">
        <f>+F39+F27+F24+F16</f>
        <v>0</v>
      </c>
    </row>
  </sheetData>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E7AC0-A15B-4D15-84C7-9E2624FACB4C}">
  <sheetPr codeName="Sheet19"/>
  <dimension ref="B1:G29"/>
  <sheetViews>
    <sheetView topLeftCell="A8" workbookViewId="0">
      <selection activeCell="E16" sqref="E16"/>
    </sheetView>
  </sheetViews>
  <sheetFormatPr defaultColWidth="9.140625" defaultRowHeight="15"/>
  <cols>
    <col min="1" max="1" width="9.140625" style="252"/>
    <col min="2" max="2" width="9.140625" style="284"/>
    <col min="3" max="3" width="52.5703125" style="256" customWidth="1"/>
    <col min="4" max="4" width="10.5703125" style="252" bestFit="1" customWidth="1"/>
    <col min="5" max="5" width="11.28515625" style="252" bestFit="1" customWidth="1"/>
    <col min="6" max="6" width="12.140625" style="252" bestFit="1" customWidth="1"/>
    <col min="7" max="16384" width="9.140625" style="252"/>
  </cols>
  <sheetData>
    <row r="1" spans="2:7" customFormat="1"/>
    <row r="2" spans="2:7" customFormat="1" ht="15.75">
      <c r="B2" s="251" t="s">
        <v>543</v>
      </c>
    </row>
    <row r="3" spans="2:7" customFormat="1"/>
    <row r="4" spans="2:7" ht="18.75">
      <c r="B4" s="301"/>
      <c r="C4" s="271" t="s">
        <v>821</v>
      </c>
      <c r="D4"/>
      <c r="E4"/>
      <c r="F4"/>
    </row>
    <row r="5" spans="2:7" ht="19.5" thickBot="1">
      <c r="B5" s="271" t="s">
        <v>134</v>
      </c>
      <c r="C5" s="357" t="s">
        <v>259</v>
      </c>
      <c r="D5" s="294" t="s">
        <v>561</v>
      </c>
      <c r="E5" s="107" t="s">
        <v>562</v>
      </c>
      <c r="F5" s="294" t="s">
        <v>578</v>
      </c>
      <c r="G5" s="358"/>
    </row>
    <row r="6" spans="2:7" ht="18.75">
      <c r="B6" s="273"/>
      <c r="C6" s="359" t="s">
        <v>822</v>
      </c>
      <c r="D6" s="275"/>
      <c r="E6" s="275"/>
      <c r="F6" s="288"/>
    </row>
    <row r="7" spans="2:7" ht="30">
      <c r="B7" s="277"/>
      <c r="C7" s="13" t="s">
        <v>823</v>
      </c>
      <c r="D7" s="20" t="s">
        <v>236</v>
      </c>
      <c r="F7" s="261"/>
    </row>
    <row r="8" spans="2:7" ht="165">
      <c r="B8" s="277"/>
      <c r="C8" s="13" t="s">
        <v>824</v>
      </c>
      <c r="D8" s="20" t="s">
        <v>236</v>
      </c>
      <c r="F8" s="261"/>
    </row>
    <row r="9" spans="2:7">
      <c r="B9" s="277"/>
      <c r="C9" s="13"/>
      <c r="D9"/>
      <c r="E9" s="356" t="s">
        <v>568</v>
      </c>
      <c r="F9" s="279">
        <f>+F8+F7</f>
        <v>0</v>
      </c>
    </row>
    <row r="10" spans="2:7" ht="18.75">
      <c r="B10" s="277"/>
      <c r="C10" s="360" t="s">
        <v>825</v>
      </c>
      <c r="D10"/>
      <c r="E10"/>
      <c r="F10" s="261"/>
    </row>
    <row r="11" spans="2:7">
      <c r="B11" s="277" t="s">
        <v>143</v>
      </c>
      <c r="C11" s="13" t="s">
        <v>826</v>
      </c>
      <c r="D11" s="289">
        <v>35</v>
      </c>
      <c r="E11" s="252">
        <v>12</v>
      </c>
      <c r="F11" s="258">
        <f>+CEILING((E11*D11),5)</f>
        <v>420</v>
      </c>
    </row>
    <row r="12" spans="2:7">
      <c r="B12" s="277" t="s">
        <v>143</v>
      </c>
      <c r="C12" s="13" t="s">
        <v>1346</v>
      </c>
      <c r="D12" s="289">
        <v>50</v>
      </c>
      <c r="F12" s="258">
        <f t="shared" ref="F12:F18" si="0">+CEILING((E12*D12),5)</f>
        <v>0</v>
      </c>
    </row>
    <row r="13" spans="2:7">
      <c r="B13" s="277" t="s">
        <v>146</v>
      </c>
      <c r="C13" s="13" t="s">
        <v>827</v>
      </c>
      <c r="D13" s="289">
        <v>140</v>
      </c>
      <c r="F13" s="258">
        <f t="shared" si="0"/>
        <v>0</v>
      </c>
    </row>
    <row r="14" spans="2:7">
      <c r="B14" s="277" t="s">
        <v>146</v>
      </c>
      <c r="C14" s="13" t="s">
        <v>828</v>
      </c>
      <c r="D14" s="289">
        <v>210</v>
      </c>
      <c r="F14" s="258">
        <f t="shared" si="0"/>
        <v>0</v>
      </c>
    </row>
    <row r="15" spans="2:7">
      <c r="B15" s="277" t="s">
        <v>143</v>
      </c>
      <c r="C15" s="13" t="s">
        <v>829</v>
      </c>
      <c r="D15" s="289">
        <v>72</v>
      </c>
      <c r="F15" s="258">
        <f t="shared" si="0"/>
        <v>0</v>
      </c>
    </row>
    <row r="16" spans="2:7" ht="30">
      <c r="B16" s="277" t="s">
        <v>143</v>
      </c>
      <c r="C16" s="13" t="s">
        <v>830</v>
      </c>
      <c r="D16" s="289">
        <v>50</v>
      </c>
      <c r="F16" s="258">
        <f t="shared" si="0"/>
        <v>0</v>
      </c>
    </row>
    <row r="17" spans="2:6">
      <c r="B17" s="277" t="s">
        <v>143</v>
      </c>
      <c r="C17" s="13" t="s">
        <v>831</v>
      </c>
      <c r="D17" s="289">
        <v>27</v>
      </c>
      <c r="E17" s="252">
        <v>12</v>
      </c>
      <c r="F17" s="258">
        <f t="shared" si="0"/>
        <v>325</v>
      </c>
    </row>
    <row r="18" spans="2:6" ht="30">
      <c r="B18" s="277" t="s">
        <v>146</v>
      </c>
      <c r="C18" s="13" t="s">
        <v>1228</v>
      </c>
      <c r="D18" s="289">
        <v>1000</v>
      </c>
      <c r="F18" s="258">
        <f t="shared" si="0"/>
        <v>0</v>
      </c>
    </row>
    <row r="19" spans="2:6">
      <c r="B19" s="277"/>
      <c r="C19" s="13"/>
      <c r="D19"/>
      <c r="E19" s="356" t="s">
        <v>568</v>
      </c>
      <c r="F19" s="279">
        <f>SUM(F11:F17)</f>
        <v>745</v>
      </c>
    </row>
    <row r="20" spans="2:6" ht="18.75">
      <c r="B20" s="277"/>
      <c r="C20" s="360" t="s">
        <v>832</v>
      </c>
      <c r="D20"/>
      <c r="E20"/>
      <c r="F20" s="261"/>
    </row>
    <row r="21" spans="2:6">
      <c r="B21" s="277" t="s">
        <v>146</v>
      </c>
      <c r="C21" s="13" t="s">
        <v>833</v>
      </c>
      <c r="D21" s="289">
        <v>400</v>
      </c>
      <c r="F21" s="258">
        <f t="shared" ref="F21" si="1">+CEILING((E21*D21),5)</f>
        <v>0</v>
      </c>
    </row>
    <row r="22" spans="2:6">
      <c r="B22" s="277"/>
      <c r="C22" s="13"/>
      <c r="D22"/>
      <c r="E22" s="356" t="s">
        <v>568</v>
      </c>
      <c r="F22" s="279">
        <f>+F21</f>
        <v>0</v>
      </c>
    </row>
    <row r="23" spans="2:6" ht="18.75">
      <c r="B23" s="277"/>
      <c r="C23" s="360" t="s">
        <v>834</v>
      </c>
      <c r="D23"/>
      <c r="E23"/>
      <c r="F23" s="261"/>
    </row>
    <row r="24" spans="2:6">
      <c r="B24" s="277" t="s">
        <v>143</v>
      </c>
      <c r="C24" s="13" t="s">
        <v>835</v>
      </c>
      <c r="D24" s="289">
        <v>13.5</v>
      </c>
      <c r="E24" s="252">
        <v>43</v>
      </c>
      <c r="F24" s="258">
        <f t="shared" ref="F24" si="2">+CEILING((E24*D24),5)</f>
        <v>585</v>
      </c>
    </row>
    <row r="25" spans="2:6">
      <c r="B25" s="277"/>
      <c r="C25" s="13"/>
      <c r="D25"/>
      <c r="E25" s="356" t="s">
        <v>568</v>
      </c>
      <c r="F25" s="279">
        <f>+F24</f>
        <v>585</v>
      </c>
    </row>
    <row r="26" spans="2:6" ht="18.75">
      <c r="B26" s="277"/>
      <c r="C26" s="360" t="s">
        <v>836</v>
      </c>
      <c r="D26"/>
      <c r="E26"/>
      <c r="F26" s="261"/>
    </row>
    <row r="27" spans="2:6">
      <c r="B27" s="277" t="s">
        <v>837</v>
      </c>
      <c r="C27" s="13" t="s">
        <v>838</v>
      </c>
      <c r="D27" s="289">
        <v>2200</v>
      </c>
      <c r="F27" s="258">
        <f t="shared" ref="F27" si="3">+CEILING((E27*D27),5)</f>
        <v>0</v>
      </c>
    </row>
    <row r="28" spans="2:6">
      <c r="B28" s="277"/>
      <c r="C28" s="13"/>
      <c r="D28"/>
      <c r="E28" s="356" t="s">
        <v>568</v>
      </c>
      <c r="F28" s="279">
        <f>+F27</f>
        <v>0</v>
      </c>
    </row>
    <row r="29" spans="2:6" ht="15.75" thickBot="1">
      <c r="B29" s="281"/>
      <c r="C29" s="298"/>
      <c r="D29" s="268"/>
      <c r="E29" s="300" t="s">
        <v>839</v>
      </c>
      <c r="F29" s="313">
        <f>+F28+F25+F22+F19+F9</f>
        <v>1330</v>
      </c>
    </row>
  </sheetData>
  <sheetProtection algorithmName="SHA-512" hashValue="aX4R81UhUhUQe4dMnmCz+uSxPQ6jd1Am9Cqcj8Qh3Yu0mEoBp30u3SkguuV2F9JxHNNDXtoKA2Cv/JqF3g+8YQ==" saltValue="l8TEeIsANdOzRR8qjDehkA==" spinCount="100000" sheet="1" objects="1" scenarios="1"/>
  <pageMargins left="0.7" right="0.7" top="0.75" bottom="0.75" header="0.3" footer="0.3"/>
  <pageSetup paperSize="9" orientation="portrait" horizontalDpi="1200" verticalDpi="0"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FDBCB-2AFF-4373-9998-0D64D553E444}">
  <sheetPr codeName="Sheet20"/>
  <dimension ref="B1:F21"/>
  <sheetViews>
    <sheetView workbookViewId="0">
      <selection activeCell="E7" sqref="E7"/>
    </sheetView>
  </sheetViews>
  <sheetFormatPr defaultColWidth="9.140625" defaultRowHeight="15"/>
  <cols>
    <col min="1" max="1" width="9.140625" style="252"/>
    <col min="2" max="2" width="9.140625" style="375"/>
    <col min="3" max="3" width="60.7109375" style="256" customWidth="1"/>
    <col min="4" max="4" width="10.5703125" style="375" bestFit="1" customWidth="1"/>
    <col min="5" max="5" width="11.28515625" style="252" bestFit="1" customWidth="1"/>
    <col min="6" max="16384" width="9.140625" style="252"/>
  </cols>
  <sheetData>
    <row r="1" spans="2:6" customFormat="1"/>
    <row r="2" spans="2:6" customFormat="1" ht="15.75">
      <c r="B2" s="251" t="s">
        <v>543</v>
      </c>
    </row>
    <row r="3" spans="2:6" customFormat="1"/>
    <row r="4" spans="2:6" ht="18.75">
      <c r="B4" s="20"/>
      <c r="C4" s="361" t="s">
        <v>840</v>
      </c>
      <c r="D4" s="20"/>
      <c r="E4"/>
      <c r="F4"/>
    </row>
    <row r="5" spans="2:6" ht="19.5" thickBot="1">
      <c r="B5" s="362" t="s">
        <v>134</v>
      </c>
      <c r="C5" s="357" t="s">
        <v>259</v>
      </c>
      <c r="D5" s="363" t="s">
        <v>561</v>
      </c>
      <c r="E5" s="107" t="s">
        <v>562</v>
      </c>
      <c r="F5" s="294" t="s">
        <v>578</v>
      </c>
    </row>
    <row r="6" spans="2:6" ht="18.75">
      <c r="B6" s="364"/>
      <c r="C6" s="365" t="s">
        <v>841</v>
      </c>
      <c r="D6" s="366"/>
      <c r="E6" s="275"/>
      <c r="F6" s="288"/>
    </row>
    <row r="7" spans="2:6" ht="32.25" customHeight="1">
      <c r="B7" s="367" t="s">
        <v>146</v>
      </c>
      <c r="C7" s="13" t="s">
        <v>842</v>
      </c>
      <c r="D7" s="368">
        <v>3300</v>
      </c>
      <c r="F7" s="258">
        <f>+CEILING((E7*D7),5)</f>
        <v>0</v>
      </c>
    </row>
    <row r="8" spans="2:6">
      <c r="B8" s="367" t="s">
        <v>705</v>
      </c>
      <c r="C8" s="13" t="s">
        <v>843</v>
      </c>
      <c r="D8" s="368">
        <v>83</v>
      </c>
      <c r="F8" s="258">
        <f>+CEILING((E8*D8),5)</f>
        <v>0</v>
      </c>
    </row>
    <row r="9" spans="2:6">
      <c r="B9" s="367"/>
      <c r="C9" s="13"/>
      <c r="D9" s="20"/>
      <c r="E9" s="18" t="s">
        <v>568</v>
      </c>
      <c r="F9" s="369">
        <f>SUM(F7:F8)</f>
        <v>0</v>
      </c>
    </row>
    <row r="10" spans="2:6" ht="18.75">
      <c r="B10" s="367"/>
      <c r="C10" s="357" t="s">
        <v>844</v>
      </c>
      <c r="D10" s="20"/>
      <c r="E10"/>
      <c r="F10" s="261"/>
    </row>
    <row r="11" spans="2:6" ht="18.75">
      <c r="B11" s="367"/>
      <c r="C11" s="370" t="s">
        <v>1331</v>
      </c>
      <c r="D11" s="20"/>
      <c r="E11"/>
      <c r="F11" s="261"/>
    </row>
    <row r="12" spans="2:6">
      <c r="B12" s="367"/>
      <c r="C12" s="371" t="s">
        <v>845</v>
      </c>
      <c r="D12" s="20"/>
      <c r="E12"/>
      <c r="F12" s="261"/>
    </row>
    <row r="13" spans="2:6" ht="45">
      <c r="B13" s="367" t="s">
        <v>705</v>
      </c>
      <c r="C13" s="13" t="s">
        <v>846</v>
      </c>
      <c r="D13" s="368">
        <v>85</v>
      </c>
      <c r="F13" s="258">
        <f t="shared" ref="F13:F16" si="0">+CEILING((E13*D13),5)</f>
        <v>0</v>
      </c>
    </row>
    <row r="14" spans="2:6">
      <c r="B14" s="367" t="s">
        <v>146</v>
      </c>
      <c r="C14" s="13" t="s">
        <v>847</v>
      </c>
      <c r="D14" s="368">
        <v>200</v>
      </c>
      <c r="F14" s="258">
        <f t="shared" si="0"/>
        <v>0</v>
      </c>
    </row>
    <row r="15" spans="2:6">
      <c r="B15" s="367" t="s">
        <v>146</v>
      </c>
      <c r="C15" s="13" t="s">
        <v>848</v>
      </c>
      <c r="D15" s="368">
        <v>140</v>
      </c>
      <c r="F15" s="258">
        <f t="shared" si="0"/>
        <v>0</v>
      </c>
    </row>
    <row r="16" spans="2:6">
      <c r="B16" s="367" t="s">
        <v>146</v>
      </c>
      <c r="C16" s="13" t="s">
        <v>849</v>
      </c>
      <c r="D16" s="368">
        <v>250</v>
      </c>
      <c r="F16" s="258">
        <f t="shared" si="0"/>
        <v>0</v>
      </c>
    </row>
    <row r="17" spans="2:6">
      <c r="B17" s="367"/>
      <c r="C17" s="13"/>
      <c r="D17" s="20"/>
      <c r="E17" s="18" t="s">
        <v>568</v>
      </c>
      <c r="F17" s="291">
        <f>SUM(F13:F16)</f>
        <v>0</v>
      </c>
    </row>
    <row r="18" spans="2:6" ht="15.75" thickBot="1">
      <c r="B18" s="372"/>
      <c r="C18" s="298"/>
      <c r="D18" s="373"/>
      <c r="E18" s="300" t="s">
        <v>576</v>
      </c>
      <c r="F18" s="374">
        <f>+F17+F9</f>
        <v>0</v>
      </c>
    </row>
    <row r="21" spans="2:6" ht="18.75">
      <c r="C21" s="370" t="s">
        <v>1332</v>
      </c>
    </row>
  </sheetData>
  <pageMargins left="0.7" right="0.7" top="0.75" bottom="0.75" header="0.3" footer="0.3"/>
  <pageSetup paperSize="9" orientation="portrait" horizontalDpi="120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8</vt:i4>
      </vt:variant>
    </vt:vector>
  </HeadingPairs>
  <TitlesOfParts>
    <vt:vector size="40" baseType="lpstr">
      <vt:lpstr>Lifestyle</vt:lpstr>
      <vt:lpstr>Landscaping</vt:lpstr>
      <vt:lpstr>Shepparton</vt:lpstr>
      <vt:lpstr>Investor</vt:lpstr>
      <vt:lpstr>Echuca</vt:lpstr>
      <vt:lpstr>Value Packs</vt:lpstr>
      <vt:lpstr>Sandown 32 Display</vt:lpstr>
      <vt:lpstr>Travel Working</vt:lpstr>
      <vt:lpstr>Estimator</vt:lpstr>
      <vt:lpstr>Facade Pricing</vt:lpstr>
      <vt:lpstr>Slab</vt:lpstr>
      <vt:lpstr>WORKINGS</vt:lpstr>
      <vt:lpstr>1.HOUSE PRICE</vt:lpstr>
      <vt:lpstr>2.TRAVEL</vt:lpstr>
      <vt:lpstr>3.SALES ESTIMATE</vt:lpstr>
      <vt:lpstr>MALDON DISPLAY</vt:lpstr>
      <vt:lpstr>PARKDALE DISPLAY</vt:lpstr>
      <vt:lpstr>Inglewood 42 Display</vt:lpstr>
      <vt:lpstr>Windows &amp; Sliding Doors</vt:lpstr>
      <vt:lpstr>Swing Doors</vt:lpstr>
      <vt:lpstr>Garage Doors</vt:lpstr>
      <vt:lpstr>Cabinetry</vt:lpstr>
      <vt:lpstr>Appliances</vt:lpstr>
      <vt:lpstr>Showers, Baths &amp; Toilets</vt:lpstr>
      <vt:lpstr>Electrical</vt:lpstr>
      <vt:lpstr>House extension</vt:lpstr>
      <vt:lpstr>Robes &amp; Shelving</vt:lpstr>
      <vt:lpstr>Floor Coverings</vt:lpstr>
      <vt:lpstr>Window Coverings</vt:lpstr>
      <vt:lpstr>Yard Items</vt:lpstr>
      <vt:lpstr>Site Costs</vt:lpstr>
      <vt:lpstr>Facades</vt:lpstr>
      <vt:lpstr>'3.SALES ESTIMATE'!Print_Area</vt:lpstr>
      <vt:lpstr>Echuca!Print_Area</vt:lpstr>
      <vt:lpstr>'Facade Pricing'!Print_Area</vt:lpstr>
      <vt:lpstr>'Inglewood 42 Display'!Print_Area</vt:lpstr>
      <vt:lpstr>Investor!Print_Area</vt:lpstr>
      <vt:lpstr>'Sandown 32 Display'!Print_Area</vt:lpstr>
      <vt:lpstr>Shepparton!Print_Area</vt:lpstr>
      <vt:lpstr>'Value Packs'!Print_Area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Estimator</dc:creator>
  <cp:lastModifiedBy>Jason McHugh</cp:lastModifiedBy>
  <cp:lastPrinted>2026-03-10T03:53:43Z</cp:lastPrinted>
  <dcterms:created xsi:type="dcterms:W3CDTF">2015-06-05T18:17:20Z</dcterms:created>
  <dcterms:modified xsi:type="dcterms:W3CDTF">2026-03-11T03:50:48Z</dcterms:modified>
</cp:coreProperties>
</file>