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ThisWorkbook"/>
  <mc:AlternateContent xmlns:mc="http://schemas.openxmlformats.org/markup-compatibility/2006">
    <mc:Choice Requires="x15">
      <x15ac:absPath xmlns:x15ac="http://schemas.microsoft.com/office/spreadsheetml/2010/11/ac" url="N:\4 - Estimating\Master Estimating Documents\Sales Estimate Sheets\"/>
    </mc:Choice>
  </mc:AlternateContent>
  <xr:revisionPtr revIDLastSave="0" documentId="13_ncr:1_{6B5FEDAF-ECFE-473D-AAF0-EE37A0AA47CC}" xr6:coauthVersionLast="47" xr6:coauthVersionMax="47" xr10:uidLastSave="{00000000-0000-0000-0000-000000000000}"/>
  <bookViews>
    <workbookView xWindow="-30828" yWindow="-108" windowWidth="30936" windowHeight="16776" tabRatio="647" firstSheet="10" activeTab="12" xr2:uid="{00000000-000D-0000-FFFF-FFFF00000000}"/>
  </bookViews>
  <sheets>
    <sheet name="Fast Key" sheetId="2" state="hidden" r:id="rId1"/>
    <sheet name="Landscaping" sheetId="31" state="hidden" r:id="rId2"/>
    <sheet name="Shepparton" sheetId="4" state="hidden" r:id="rId3"/>
    <sheet name="Investor" sheetId="5" state="hidden" r:id="rId4"/>
    <sheet name="Echuca" sheetId="6" state="hidden" r:id="rId5"/>
    <sheet name="Value Packs" sheetId="30" state="hidden" r:id="rId6"/>
    <sheet name="Sandown 32 Display" sheetId="12" state="hidden" r:id="rId7"/>
    <sheet name="Travel Working" sheetId="33" state="hidden" r:id="rId8"/>
    <sheet name="Estimator" sheetId="3" state="hidden" r:id="rId9"/>
    <sheet name="Facade Pricing" sheetId="29" state="hidden" r:id="rId10"/>
    <sheet name="1.HOUSE PRICE" sheetId="7" r:id="rId11"/>
    <sheet name="2.TRAVEL" sheetId="8" r:id="rId12"/>
    <sheet name="3.SALES ESTIMATE" sheetId="27" r:id="rId13"/>
    <sheet name="Inglewood 42 Display" sheetId="28" state="hidden" r:id="rId14"/>
    <sheet name="ASHWOOD 17" sheetId="45" state="hidden" r:id="rId15"/>
    <sheet name="ASHWOOD 20" sheetId="50" state="hidden" r:id="rId16"/>
    <sheet name="BYRON 19" sheetId="48" state="hidden" r:id="rId17"/>
    <sheet name="BYRON 22A" sheetId="42" state="hidden" r:id="rId18"/>
    <sheet name="BYRON 22B" sheetId="49" state="hidden" r:id="rId19"/>
    <sheet name="MALVERN 20" sheetId="51" state="hidden" r:id="rId20"/>
    <sheet name="MALVERN 23" sheetId="52" state="hidden" r:id="rId21"/>
    <sheet name="MALVERN 25" sheetId="53" state="hidden" r:id="rId22"/>
    <sheet name="Site Costs" sheetId="25" r:id="rId23"/>
    <sheet name="Gas Line" sheetId="47" r:id="rId24"/>
  </sheets>
  <externalReferences>
    <externalReference r:id="rId25"/>
    <externalReference r:id="rId26"/>
  </externalReferences>
  <definedNames>
    <definedName name="_xlnm._FilterDatabase" localSheetId="10" hidden="1">'1.HOUSE PRICE'!$A$7:$C$20</definedName>
    <definedName name="_xlnm._FilterDatabase" localSheetId="11" hidden="1">'2.TRAVEL'!$A$3:$A$13</definedName>
    <definedName name="_xlnm._FilterDatabase" localSheetId="8" hidden="1">Estimator!$B$2:$B$97</definedName>
    <definedName name="_xlnm.Print_Area" localSheetId="12">'3.SALES ESTIMATE'!$B$1:$F$404</definedName>
    <definedName name="_xlnm.Print_Area" localSheetId="4">Echuca!$A$1:$G$172</definedName>
    <definedName name="_xlnm.Print_Area" localSheetId="9">'Facade Pricing'!$A$1:$B$375</definedName>
    <definedName name="_xlnm.Print_Area" localSheetId="13">'Inglewood 42 Display'!$A$1:$F$374</definedName>
    <definedName name="_xlnm.Print_Area" localSheetId="3">Investor!$A$1:$K$17</definedName>
    <definedName name="_xlnm.Print_Area" localSheetId="6">'Sandown 32 Display'!$A$1:$F$377</definedName>
    <definedName name="_xlnm.Print_Area" localSheetId="2">Shepparton!$A$1:$F$24</definedName>
    <definedName name="_xlnm.Print_Area" localSheetId="5">'Value Packs'!$B$2:$H$53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1" i="8" l="1"/>
  <c r="G10" i="8"/>
  <c r="J9" i="8"/>
  <c r="I9" i="8"/>
  <c r="G9" i="8"/>
  <c r="G8" i="8"/>
  <c r="G7" i="8"/>
  <c r="G6" i="8"/>
  <c r="G5" i="8"/>
  <c r="G4" i="8"/>
  <c r="C67" i="45"/>
  <c r="C169" i="53"/>
  <c r="C180" i="53" l="1"/>
  <c r="C179" i="53"/>
  <c r="C178" i="53"/>
  <c r="C177" i="53"/>
  <c r="C176" i="53"/>
  <c r="C175" i="53"/>
  <c r="C174" i="53"/>
  <c r="C173" i="53"/>
  <c r="C172" i="53"/>
  <c r="C171" i="53"/>
  <c r="C170" i="53"/>
  <c r="D180" i="53"/>
  <c r="D179" i="53"/>
  <c r="D178" i="53"/>
  <c r="D177" i="53"/>
  <c r="D176" i="53"/>
  <c r="D175" i="53"/>
  <c r="D174" i="53"/>
  <c r="D173" i="53"/>
  <c r="D172" i="53"/>
  <c r="D171" i="53"/>
  <c r="D170" i="53"/>
  <c r="D169" i="53"/>
  <c r="D19" i="53"/>
  <c r="D18" i="53"/>
  <c r="D17" i="53"/>
  <c r="C19" i="53"/>
  <c r="C18" i="53"/>
  <c r="C17" i="53"/>
  <c r="D165" i="53"/>
  <c r="D164" i="53"/>
  <c r="D163" i="53"/>
  <c r="D162" i="53"/>
  <c r="D161" i="53"/>
  <c r="D160" i="53"/>
  <c r="D159" i="53"/>
  <c r="D156" i="53"/>
  <c r="D155" i="53"/>
  <c r="D154" i="53"/>
  <c r="D153" i="53"/>
  <c r="D152" i="53"/>
  <c r="D149" i="53"/>
  <c r="D148" i="53"/>
  <c r="D147" i="53"/>
  <c r="D146" i="53"/>
  <c r="D145" i="53"/>
  <c r="D144" i="53"/>
  <c r="D143" i="53"/>
  <c r="D142" i="53"/>
  <c r="D141" i="53"/>
  <c r="D140" i="53"/>
  <c r="D139" i="53"/>
  <c r="D138" i="53"/>
  <c r="D135" i="53"/>
  <c r="D134" i="53"/>
  <c r="D133" i="53"/>
  <c r="D132" i="53"/>
  <c r="D131" i="53"/>
  <c r="D130" i="53"/>
  <c r="D129" i="53"/>
  <c r="D126" i="53"/>
  <c r="D125" i="53"/>
  <c r="D124" i="53"/>
  <c r="D123" i="53"/>
  <c r="D122" i="53"/>
  <c r="D121" i="53"/>
  <c r="D120" i="53"/>
  <c r="D119" i="53"/>
  <c r="D118" i="53"/>
  <c r="D117" i="53"/>
  <c r="D116" i="53"/>
  <c r="D115" i="53"/>
  <c r="D114" i="53"/>
  <c r="D113" i="53"/>
  <c r="D112" i="53"/>
  <c r="D111" i="53"/>
  <c r="D110" i="53"/>
  <c r="D109" i="53"/>
  <c r="D108" i="53"/>
  <c r="D107" i="53"/>
  <c r="D106" i="53"/>
  <c r="D105" i="53"/>
  <c r="D104" i="53"/>
  <c r="D101" i="53"/>
  <c r="D100" i="53"/>
  <c r="D99" i="53"/>
  <c r="D98" i="53"/>
  <c r="D97" i="53"/>
  <c r="D96" i="53"/>
  <c r="D95" i="53"/>
  <c r="D94" i="53"/>
  <c r="D93" i="53"/>
  <c r="D92" i="53"/>
  <c r="D91" i="53"/>
  <c r="D90" i="53"/>
  <c r="D89" i="53"/>
  <c r="D88" i="53"/>
  <c r="D87" i="53"/>
  <c r="D86" i="53"/>
  <c r="D85" i="53"/>
  <c r="D84" i="53"/>
  <c r="D81" i="53"/>
  <c r="D80" i="53"/>
  <c r="D79" i="53"/>
  <c r="D78" i="53"/>
  <c r="D75" i="53"/>
  <c r="D74" i="53"/>
  <c r="D73" i="53"/>
  <c r="D72" i="53"/>
  <c r="D71" i="53"/>
  <c r="D70" i="53"/>
  <c r="D69" i="53"/>
  <c r="D65" i="53"/>
  <c r="D64" i="53"/>
  <c r="D63" i="53"/>
  <c r="D60" i="53"/>
  <c r="D59" i="53"/>
  <c r="D58" i="53"/>
  <c r="D57" i="53"/>
  <c r="D56" i="53"/>
  <c r="D55" i="53"/>
  <c r="D52" i="53"/>
  <c r="D51" i="53"/>
  <c r="D50" i="53"/>
  <c r="D49" i="53"/>
  <c r="D48" i="53"/>
  <c r="D47" i="53"/>
  <c r="D46" i="53"/>
  <c r="D45" i="53"/>
  <c r="D42" i="53"/>
  <c r="D41" i="53"/>
  <c r="D40" i="53"/>
  <c r="D39" i="53"/>
  <c r="D38" i="53"/>
  <c r="D37" i="53"/>
  <c r="D36" i="53"/>
  <c r="D35" i="53"/>
  <c r="D34" i="53"/>
  <c r="D33" i="53"/>
  <c r="D32" i="53"/>
  <c r="D28" i="53"/>
  <c r="D27" i="53"/>
  <c r="D26" i="53"/>
  <c r="D25" i="53"/>
  <c r="D24" i="53"/>
  <c r="D23" i="53"/>
  <c r="D16" i="53"/>
  <c r="D15" i="53"/>
  <c r="D14" i="53"/>
  <c r="D13" i="53"/>
  <c r="D12" i="53"/>
  <c r="D11" i="53"/>
  <c r="D10" i="53"/>
  <c r="D9" i="53"/>
  <c r="D8" i="53"/>
  <c r="D7" i="53"/>
  <c r="D6" i="53"/>
  <c r="D5" i="53"/>
  <c r="D4" i="53"/>
  <c r="C165" i="53"/>
  <c r="C162" i="53"/>
  <c r="C161" i="53"/>
  <c r="C160" i="53"/>
  <c r="C159" i="53"/>
  <c r="C156" i="53"/>
  <c r="C152" i="53"/>
  <c r="C149" i="53"/>
  <c r="C148" i="53"/>
  <c r="C147" i="53"/>
  <c r="C146" i="53"/>
  <c r="C145" i="53"/>
  <c r="C144" i="53"/>
  <c r="C143" i="53"/>
  <c r="C142" i="53"/>
  <c r="C141" i="53"/>
  <c r="C140" i="53"/>
  <c r="C139" i="53"/>
  <c r="C138" i="53"/>
  <c r="C135" i="53"/>
  <c r="C134" i="53"/>
  <c r="C133" i="53"/>
  <c r="C132" i="53"/>
  <c r="C131" i="53"/>
  <c r="C130" i="53"/>
  <c r="C129" i="53"/>
  <c r="C126" i="53"/>
  <c r="C125" i="53"/>
  <c r="C124" i="53"/>
  <c r="C123" i="53"/>
  <c r="C122" i="53"/>
  <c r="C121" i="53"/>
  <c r="C120" i="53"/>
  <c r="C119" i="53"/>
  <c r="C118" i="53"/>
  <c r="C117" i="53"/>
  <c r="C116" i="53"/>
  <c r="C115" i="53"/>
  <c r="C114" i="53"/>
  <c r="C113" i="53"/>
  <c r="C112" i="53"/>
  <c r="C111" i="53"/>
  <c r="C110" i="53"/>
  <c r="C109" i="53"/>
  <c r="C108" i="53"/>
  <c r="C107" i="53"/>
  <c r="C106" i="53"/>
  <c r="C105" i="53"/>
  <c r="C104" i="53"/>
  <c r="C81" i="53"/>
  <c r="C80" i="53"/>
  <c r="C79" i="53"/>
  <c r="C78" i="53"/>
  <c r="C75" i="53"/>
  <c r="C74" i="53"/>
  <c r="C73" i="53"/>
  <c r="C72" i="53"/>
  <c r="C71" i="53"/>
  <c r="C70" i="53"/>
  <c r="C69" i="53"/>
  <c r="C65" i="53"/>
  <c r="C64" i="53"/>
  <c r="C63" i="53"/>
  <c r="C60" i="53"/>
  <c r="C59" i="53"/>
  <c r="C58" i="53"/>
  <c r="C57" i="53"/>
  <c r="C56" i="53"/>
  <c r="C55" i="53"/>
  <c r="C52" i="53"/>
  <c r="C51" i="53"/>
  <c r="C50" i="53"/>
  <c r="C45" i="53"/>
  <c r="C42" i="53"/>
  <c r="C41" i="53"/>
  <c r="C40" i="53"/>
  <c r="C34" i="53"/>
  <c r="C33" i="53"/>
  <c r="C32" i="53"/>
  <c r="C28" i="53"/>
  <c r="C27" i="53"/>
  <c r="C26" i="53"/>
  <c r="C25" i="53"/>
  <c r="C24" i="53"/>
  <c r="C23" i="53"/>
  <c r="C16" i="53"/>
  <c r="C15" i="53"/>
  <c r="C14" i="53"/>
  <c r="C13" i="53"/>
  <c r="C12" i="53"/>
  <c r="C11" i="53"/>
  <c r="C10" i="53"/>
  <c r="C9" i="53"/>
  <c r="C8" i="53"/>
  <c r="C7" i="53"/>
  <c r="C6" i="53"/>
  <c r="C5" i="53"/>
  <c r="C4" i="53"/>
  <c r="D162" i="52"/>
  <c r="D161" i="52"/>
  <c r="D160" i="52"/>
  <c r="D159" i="52"/>
  <c r="D158" i="52"/>
  <c r="D157" i="52"/>
  <c r="D156" i="52"/>
  <c r="D153" i="52"/>
  <c r="D152" i="52"/>
  <c r="D151" i="52"/>
  <c r="D150" i="52"/>
  <c r="D149" i="52"/>
  <c r="D146" i="52"/>
  <c r="D145" i="52"/>
  <c r="D144" i="52"/>
  <c r="D143" i="52"/>
  <c r="D142" i="52"/>
  <c r="D141" i="52"/>
  <c r="D140" i="52"/>
  <c r="D139" i="52"/>
  <c r="D138" i="52"/>
  <c r="D137" i="52"/>
  <c r="D136" i="52"/>
  <c r="D135" i="52"/>
  <c r="D132" i="52"/>
  <c r="D131" i="52"/>
  <c r="D130" i="52"/>
  <c r="D129" i="52"/>
  <c r="D128" i="52"/>
  <c r="D127" i="52"/>
  <c r="D126" i="52"/>
  <c r="D123" i="52"/>
  <c r="D122" i="52"/>
  <c r="D121" i="52"/>
  <c r="D120" i="52"/>
  <c r="D119" i="52"/>
  <c r="D118" i="52"/>
  <c r="D117" i="52"/>
  <c r="D116" i="52"/>
  <c r="D115" i="52"/>
  <c r="D114" i="52"/>
  <c r="D113" i="52"/>
  <c r="D112" i="52"/>
  <c r="D111" i="52"/>
  <c r="D110" i="52"/>
  <c r="D109" i="52"/>
  <c r="D108" i="52"/>
  <c r="D107" i="52"/>
  <c r="D106" i="52"/>
  <c r="D105" i="52"/>
  <c r="D104" i="52"/>
  <c r="D103" i="52"/>
  <c r="D102" i="52"/>
  <c r="D101" i="52"/>
  <c r="D98" i="52"/>
  <c r="D97" i="52"/>
  <c r="D96" i="52"/>
  <c r="D95" i="52"/>
  <c r="D94" i="52"/>
  <c r="D93" i="52"/>
  <c r="D92" i="52"/>
  <c r="D91" i="52"/>
  <c r="D90" i="52"/>
  <c r="D89" i="52"/>
  <c r="D88" i="52"/>
  <c r="D87" i="52"/>
  <c r="D86" i="52"/>
  <c r="D85" i="52"/>
  <c r="D84" i="52"/>
  <c r="D83" i="52"/>
  <c r="D82" i="52"/>
  <c r="D81" i="52"/>
  <c r="D78" i="52"/>
  <c r="D77" i="52"/>
  <c r="D76" i="52"/>
  <c r="D75" i="52"/>
  <c r="D72" i="52"/>
  <c r="D71" i="52"/>
  <c r="D70" i="52"/>
  <c r="D69" i="52"/>
  <c r="D68" i="52"/>
  <c r="D67" i="52"/>
  <c r="D66" i="52"/>
  <c r="D62" i="52"/>
  <c r="D61" i="52"/>
  <c r="D60" i="52"/>
  <c r="D57" i="52"/>
  <c r="D56" i="52"/>
  <c r="D55" i="52"/>
  <c r="D54" i="52"/>
  <c r="D53" i="52"/>
  <c r="D52" i="52"/>
  <c r="D49" i="52"/>
  <c r="D48" i="52"/>
  <c r="D47" i="52"/>
  <c r="D46" i="52"/>
  <c r="D45" i="52"/>
  <c r="D44" i="52"/>
  <c r="D43" i="52"/>
  <c r="D42" i="52"/>
  <c r="D39" i="52"/>
  <c r="D38" i="52"/>
  <c r="D37" i="52"/>
  <c r="D36" i="52"/>
  <c r="D35" i="52"/>
  <c r="D34" i="52"/>
  <c r="D33" i="52"/>
  <c r="D32" i="52"/>
  <c r="D31" i="52"/>
  <c r="D30" i="52"/>
  <c r="D29" i="52"/>
  <c r="D25" i="52"/>
  <c r="D24" i="52"/>
  <c r="D23" i="52"/>
  <c r="D22" i="52"/>
  <c r="D21" i="52"/>
  <c r="D20" i="52"/>
  <c r="D16" i="52"/>
  <c r="D15" i="52"/>
  <c r="D14" i="52"/>
  <c r="D13" i="52"/>
  <c r="D12" i="52"/>
  <c r="D11" i="52"/>
  <c r="D10" i="52"/>
  <c r="D9" i="52"/>
  <c r="D8" i="52"/>
  <c r="D7" i="52"/>
  <c r="D6" i="52"/>
  <c r="D5" i="52"/>
  <c r="D4" i="52"/>
  <c r="D6" i="51"/>
  <c r="C162" i="52"/>
  <c r="C159" i="52"/>
  <c r="C158" i="52"/>
  <c r="C157" i="52"/>
  <c r="C156" i="52"/>
  <c r="C153" i="52"/>
  <c r="C149" i="52"/>
  <c r="C146" i="52"/>
  <c r="C145" i="52"/>
  <c r="C144" i="52"/>
  <c r="C143" i="52"/>
  <c r="C142" i="52"/>
  <c r="C141" i="52"/>
  <c r="C140" i="52"/>
  <c r="C139" i="52"/>
  <c r="C138" i="52"/>
  <c r="C137" i="52"/>
  <c r="C136" i="52"/>
  <c r="C135" i="52"/>
  <c r="C132" i="52"/>
  <c r="C131" i="52"/>
  <c r="C130" i="52"/>
  <c r="C129" i="52"/>
  <c r="C128" i="52"/>
  <c r="C127" i="52"/>
  <c r="C126" i="52"/>
  <c r="C123" i="52"/>
  <c r="C122" i="52"/>
  <c r="C121" i="52"/>
  <c r="C120" i="52"/>
  <c r="C119" i="52"/>
  <c r="C118" i="52"/>
  <c r="C117" i="52"/>
  <c r="C116" i="52"/>
  <c r="C115" i="52"/>
  <c r="C114" i="52"/>
  <c r="C113" i="52"/>
  <c r="C112" i="52"/>
  <c r="C111" i="52"/>
  <c r="C110" i="52"/>
  <c r="C109" i="52"/>
  <c r="C108" i="52"/>
  <c r="C107" i="52"/>
  <c r="C106" i="52"/>
  <c r="C105" i="52"/>
  <c r="C104" i="52"/>
  <c r="C103" i="52"/>
  <c r="C102" i="52"/>
  <c r="C101" i="52"/>
  <c r="C78" i="52"/>
  <c r="C77" i="52"/>
  <c r="C76" i="52"/>
  <c r="C75" i="52"/>
  <c r="C72" i="52"/>
  <c r="C71" i="52"/>
  <c r="C70" i="52"/>
  <c r="C69" i="52"/>
  <c r="C68" i="52"/>
  <c r="C67" i="52"/>
  <c r="C66" i="52"/>
  <c r="C62" i="52"/>
  <c r="C61" i="52"/>
  <c r="C60" i="52"/>
  <c r="C57" i="52"/>
  <c r="C56" i="52"/>
  <c r="C55" i="52"/>
  <c r="C54" i="52"/>
  <c r="C53" i="52"/>
  <c r="C52" i="52"/>
  <c r="C49" i="52"/>
  <c r="C48" i="52"/>
  <c r="C47" i="52"/>
  <c r="C42" i="52"/>
  <c r="C39" i="52"/>
  <c r="C38" i="52"/>
  <c r="C37" i="52"/>
  <c r="C31" i="52"/>
  <c r="C30" i="52"/>
  <c r="C29" i="52"/>
  <c r="C25" i="52"/>
  <c r="C24" i="52"/>
  <c r="C23" i="52"/>
  <c r="C22" i="52"/>
  <c r="C21" i="52"/>
  <c r="C20" i="52"/>
  <c r="C16" i="52"/>
  <c r="C15" i="52"/>
  <c r="C14" i="52"/>
  <c r="C13" i="52"/>
  <c r="C12" i="52"/>
  <c r="C11" i="52"/>
  <c r="C10" i="52"/>
  <c r="C9" i="52"/>
  <c r="C8" i="52"/>
  <c r="C7" i="52"/>
  <c r="C6" i="52"/>
  <c r="C5" i="52"/>
  <c r="C4" i="52"/>
  <c r="D146" i="51"/>
  <c r="D145" i="51"/>
  <c r="D144" i="51"/>
  <c r="D143" i="51"/>
  <c r="D142" i="51"/>
  <c r="D141" i="51"/>
  <c r="D140" i="51"/>
  <c r="D139" i="51"/>
  <c r="D138" i="51"/>
  <c r="D137" i="51"/>
  <c r="D136" i="51"/>
  <c r="D135" i="51"/>
  <c r="C146" i="51"/>
  <c r="C145" i="51"/>
  <c r="C144" i="51"/>
  <c r="C143" i="51"/>
  <c r="C142" i="51"/>
  <c r="C141" i="51"/>
  <c r="C140" i="51"/>
  <c r="C139" i="51"/>
  <c r="C138" i="51"/>
  <c r="C137" i="51"/>
  <c r="C136" i="51"/>
  <c r="C135" i="51"/>
  <c r="D162" i="51"/>
  <c r="C162" i="51"/>
  <c r="D161" i="51"/>
  <c r="D160" i="51"/>
  <c r="D159" i="51"/>
  <c r="D158" i="51"/>
  <c r="D157" i="51"/>
  <c r="D156" i="51"/>
  <c r="C159" i="51"/>
  <c r="C158" i="51"/>
  <c r="C157" i="51"/>
  <c r="C156" i="51"/>
  <c r="D152" i="51"/>
  <c r="D151" i="51"/>
  <c r="D150" i="51"/>
  <c r="D149" i="51"/>
  <c r="D153" i="51"/>
  <c r="C153" i="51"/>
  <c r="C149" i="51"/>
  <c r="C132" i="51"/>
  <c r="C131" i="51"/>
  <c r="C130" i="51"/>
  <c r="C129" i="51"/>
  <c r="C128" i="51"/>
  <c r="C127" i="51"/>
  <c r="C126" i="51"/>
  <c r="D132" i="51"/>
  <c r="D131" i="51"/>
  <c r="D130" i="51"/>
  <c r="D129" i="51"/>
  <c r="D128" i="51"/>
  <c r="D127" i="51"/>
  <c r="D126" i="51"/>
  <c r="D123" i="51"/>
  <c r="D122" i="51"/>
  <c r="D121" i="51"/>
  <c r="D120" i="51"/>
  <c r="D119" i="51"/>
  <c r="D118" i="51"/>
  <c r="D117" i="51"/>
  <c r="D116" i="51"/>
  <c r="D115" i="51"/>
  <c r="D114" i="51"/>
  <c r="D113" i="51"/>
  <c r="D112" i="51"/>
  <c r="D111" i="51"/>
  <c r="D110" i="51"/>
  <c r="D109" i="51"/>
  <c r="D108" i="51"/>
  <c r="D107" i="51"/>
  <c r="D106" i="51"/>
  <c r="D105" i="51"/>
  <c r="D104" i="51"/>
  <c r="D103" i="51"/>
  <c r="D102" i="51"/>
  <c r="D101" i="51"/>
  <c r="C123" i="51"/>
  <c r="C122" i="51"/>
  <c r="C121" i="51"/>
  <c r="C120" i="51"/>
  <c r="C119" i="51"/>
  <c r="C118" i="51"/>
  <c r="C117" i="51"/>
  <c r="C116" i="51"/>
  <c r="C115" i="51"/>
  <c r="C114" i="51"/>
  <c r="C113" i="51"/>
  <c r="C112" i="51"/>
  <c r="C111" i="51"/>
  <c r="C110" i="51"/>
  <c r="C109" i="51"/>
  <c r="C108" i="51"/>
  <c r="C107" i="51"/>
  <c r="C106" i="51"/>
  <c r="C105" i="51"/>
  <c r="C104" i="51"/>
  <c r="C103" i="51"/>
  <c r="C102" i="51"/>
  <c r="C101" i="51"/>
  <c r="C4" i="51"/>
  <c r="D98" i="51"/>
  <c r="D97" i="51"/>
  <c r="D96" i="51"/>
  <c r="D95" i="51"/>
  <c r="D94" i="51"/>
  <c r="D93" i="51"/>
  <c r="D92" i="51"/>
  <c r="D91" i="51"/>
  <c r="D90" i="51"/>
  <c r="D89" i="51"/>
  <c r="D88" i="51"/>
  <c r="D87" i="51"/>
  <c r="D86" i="51"/>
  <c r="D85" i="51"/>
  <c r="D84" i="51"/>
  <c r="D83" i="51"/>
  <c r="D82" i="51"/>
  <c r="D81" i="51"/>
  <c r="D78" i="51"/>
  <c r="D77" i="51"/>
  <c r="D76" i="51"/>
  <c r="D75" i="51"/>
  <c r="C78" i="51"/>
  <c r="C77" i="51"/>
  <c r="C76" i="51"/>
  <c r="C75" i="51"/>
  <c r="D72" i="51"/>
  <c r="D71" i="51"/>
  <c r="D70" i="51"/>
  <c r="D69" i="51"/>
  <c r="D68" i="51"/>
  <c r="D67" i="51"/>
  <c r="D66" i="51"/>
  <c r="C72" i="51"/>
  <c r="C71" i="51"/>
  <c r="C70" i="51"/>
  <c r="C69" i="51"/>
  <c r="C68" i="51"/>
  <c r="C67" i="51"/>
  <c r="C66" i="51"/>
  <c r="D62" i="51"/>
  <c r="D61" i="51"/>
  <c r="D60" i="51"/>
  <c r="C62" i="51"/>
  <c r="C61" i="51"/>
  <c r="C60" i="51"/>
  <c r="D57" i="51"/>
  <c r="C57" i="51"/>
  <c r="D56" i="51"/>
  <c r="C56" i="51"/>
  <c r="D55" i="51"/>
  <c r="C55" i="51"/>
  <c r="D54" i="51"/>
  <c r="C54" i="51"/>
  <c r="D53" i="51"/>
  <c r="C53" i="51"/>
  <c r="D52" i="51"/>
  <c r="C52" i="51"/>
  <c r="D49" i="51"/>
  <c r="D48" i="51"/>
  <c r="D47" i="51"/>
  <c r="C49" i="51"/>
  <c r="C48" i="51"/>
  <c r="C47" i="51"/>
  <c r="D46" i="51"/>
  <c r="D45" i="51"/>
  <c r="D44" i="51"/>
  <c r="D43" i="51"/>
  <c r="D42" i="51"/>
  <c r="C42" i="51"/>
  <c r="D39" i="51"/>
  <c r="D38" i="51"/>
  <c r="D37" i="51"/>
  <c r="C39" i="51"/>
  <c r="C38" i="51"/>
  <c r="C37" i="51"/>
  <c r="D36" i="51"/>
  <c r="D35" i="51"/>
  <c r="D34" i="51"/>
  <c r="D33" i="51"/>
  <c r="D32" i="51"/>
  <c r="D31" i="51"/>
  <c r="D30" i="51"/>
  <c r="D29" i="51"/>
  <c r="C31" i="51"/>
  <c r="C30" i="51"/>
  <c r="C29" i="51"/>
  <c r="C25" i="51"/>
  <c r="C24" i="51"/>
  <c r="C23" i="51"/>
  <c r="C22" i="51"/>
  <c r="C21" i="51"/>
  <c r="C20" i="51"/>
  <c r="D25" i="51"/>
  <c r="D24" i="51"/>
  <c r="D23" i="51"/>
  <c r="D22" i="51"/>
  <c r="D21" i="51"/>
  <c r="D20" i="51"/>
  <c r="D16" i="51"/>
  <c r="C16" i="51"/>
  <c r="D15" i="51"/>
  <c r="D14" i="51"/>
  <c r="D13" i="51"/>
  <c r="D12" i="51"/>
  <c r="D11" i="51"/>
  <c r="D10" i="51"/>
  <c r="D9" i="51"/>
  <c r="D8" i="51"/>
  <c r="D7" i="51"/>
  <c r="D5" i="51"/>
  <c r="D4" i="51"/>
  <c r="C15" i="51"/>
  <c r="C14" i="51"/>
  <c r="C13" i="51"/>
  <c r="C12" i="51"/>
  <c r="C11" i="51"/>
  <c r="C10" i="51"/>
  <c r="C9" i="51"/>
  <c r="C8" i="51"/>
  <c r="C7" i="51"/>
  <c r="C6" i="51"/>
  <c r="C5" i="51"/>
  <c r="D162" i="50"/>
  <c r="D161" i="50"/>
  <c r="D160" i="50"/>
  <c r="D159" i="50"/>
  <c r="D158" i="50"/>
  <c r="D155" i="50"/>
  <c r="D154" i="50"/>
  <c r="D153" i="50"/>
  <c r="D152" i="50"/>
  <c r="D151" i="50"/>
  <c r="D148" i="50"/>
  <c r="D147" i="50"/>
  <c r="D146" i="50"/>
  <c r="D145" i="50"/>
  <c r="D144" i="50"/>
  <c r="D143" i="50"/>
  <c r="D142" i="50"/>
  <c r="D141" i="50"/>
  <c r="D140" i="50"/>
  <c r="D139" i="50"/>
  <c r="D138" i="50"/>
  <c r="D137" i="50"/>
  <c r="D134" i="50"/>
  <c r="D133" i="50"/>
  <c r="D132" i="50"/>
  <c r="D131" i="50"/>
  <c r="D130" i="50"/>
  <c r="D129" i="50"/>
  <c r="D128" i="50"/>
  <c r="D125" i="50"/>
  <c r="D124" i="50"/>
  <c r="D123" i="50"/>
  <c r="D122" i="50"/>
  <c r="D121" i="50"/>
  <c r="D120" i="50"/>
  <c r="D119" i="50"/>
  <c r="D118" i="50"/>
  <c r="D117" i="50"/>
  <c r="D116" i="50"/>
  <c r="D115" i="50"/>
  <c r="D114" i="50"/>
  <c r="D113" i="50"/>
  <c r="D112" i="50"/>
  <c r="D111" i="50"/>
  <c r="D110" i="50"/>
  <c r="D109" i="50"/>
  <c r="D108" i="50"/>
  <c r="D107" i="50"/>
  <c r="D106" i="50"/>
  <c r="D105" i="50"/>
  <c r="D104" i="50"/>
  <c r="D103" i="50"/>
  <c r="D102" i="50"/>
  <c r="D101" i="50"/>
  <c r="D98" i="50"/>
  <c r="D97" i="50"/>
  <c r="D96" i="50"/>
  <c r="D95" i="50"/>
  <c r="D94" i="50"/>
  <c r="D93" i="50"/>
  <c r="D92" i="50"/>
  <c r="D91" i="50"/>
  <c r="D90" i="50"/>
  <c r="D89" i="50"/>
  <c r="D88" i="50"/>
  <c r="D87" i="50"/>
  <c r="D86" i="50"/>
  <c r="D85" i="50"/>
  <c r="D84" i="50"/>
  <c r="D83" i="50"/>
  <c r="D82" i="50"/>
  <c r="D81" i="50"/>
  <c r="D78" i="50"/>
  <c r="D77" i="50"/>
  <c r="D76" i="50"/>
  <c r="D73" i="50"/>
  <c r="D72" i="50"/>
  <c r="D71" i="50"/>
  <c r="D70" i="50"/>
  <c r="D69" i="50"/>
  <c r="D68" i="50"/>
  <c r="D67" i="50"/>
  <c r="D63" i="50"/>
  <c r="D62" i="50"/>
  <c r="D61" i="50"/>
  <c r="D58" i="50"/>
  <c r="D57" i="50"/>
  <c r="D56" i="50"/>
  <c r="D55" i="50"/>
  <c r="D54" i="50"/>
  <c r="D53" i="50"/>
  <c r="D50" i="50"/>
  <c r="D49" i="50"/>
  <c r="D48" i="50"/>
  <c r="D47" i="50"/>
  <c r="D46" i="50"/>
  <c r="D45" i="50"/>
  <c r="D44" i="50"/>
  <c r="D43" i="50"/>
  <c r="D40" i="50"/>
  <c r="D39" i="50"/>
  <c r="D38" i="50"/>
  <c r="D37" i="50"/>
  <c r="D36" i="50"/>
  <c r="D35" i="50"/>
  <c r="D34" i="50"/>
  <c r="D33" i="50"/>
  <c r="D32" i="50"/>
  <c r="D31" i="50"/>
  <c r="D30" i="50"/>
  <c r="D26" i="50"/>
  <c r="D25" i="50"/>
  <c r="D24" i="50"/>
  <c r="D23" i="50"/>
  <c r="D22" i="50"/>
  <c r="D21" i="50"/>
  <c r="D20" i="50"/>
  <c r="D19" i="50"/>
  <c r="D15" i="50"/>
  <c r="D14" i="50"/>
  <c r="D13" i="50"/>
  <c r="D12" i="50"/>
  <c r="D11" i="50"/>
  <c r="D10" i="50"/>
  <c r="D9" i="50"/>
  <c r="D8" i="50"/>
  <c r="D7" i="50"/>
  <c r="D6" i="50"/>
  <c r="D5" i="50"/>
  <c r="D4" i="50"/>
  <c r="D162" i="45"/>
  <c r="D161" i="45"/>
  <c r="D160" i="45"/>
  <c r="D159" i="45"/>
  <c r="D158" i="45"/>
  <c r="D155" i="45"/>
  <c r="D154" i="45"/>
  <c r="D153" i="45"/>
  <c r="D152" i="45"/>
  <c r="D151" i="45"/>
  <c r="D148" i="45"/>
  <c r="D147" i="45"/>
  <c r="D146" i="45"/>
  <c r="D145" i="45"/>
  <c r="D144" i="45"/>
  <c r="D143" i="45"/>
  <c r="D142" i="45"/>
  <c r="D141" i="45"/>
  <c r="D140" i="45"/>
  <c r="D139" i="45"/>
  <c r="D138" i="45"/>
  <c r="D137" i="45"/>
  <c r="D134" i="45"/>
  <c r="D133" i="45"/>
  <c r="D132" i="45"/>
  <c r="D131" i="45"/>
  <c r="D130" i="45"/>
  <c r="D129" i="45"/>
  <c r="D128" i="45"/>
  <c r="D125" i="45"/>
  <c r="D124" i="45"/>
  <c r="D123" i="45"/>
  <c r="D122" i="45"/>
  <c r="D121" i="45"/>
  <c r="D120" i="45"/>
  <c r="D119" i="45"/>
  <c r="D118" i="45"/>
  <c r="D117" i="45"/>
  <c r="D116" i="45"/>
  <c r="D115" i="45"/>
  <c r="D114" i="45"/>
  <c r="D113" i="45"/>
  <c r="D112" i="45"/>
  <c r="D111" i="45"/>
  <c r="D110" i="45"/>
  <c r="D109" i="45"/>
  <c r="D108" i="45"/>
  <c r="D107" i="45"/>
  <c r="D106" i="45"/>
  <c r="D105" i="45"/>
  <c r="D104" i="45"/>
  <c r="D103" i="45"/>
  <c r="D102" i="45"/>
  <c r="D101" i="45"/>
  <c r="D98" i="45"/>
  <c r="D97" i="45"/>
  <c r="D96" i="45"/>
  <c r="D95" i="45"/>
  <c r="D94" i="45"/>
  <c r="D93" i="45"/>
  <c r="D92" i="45"/>
  <c r="D91" i="45"/>
  <c r="D90" i="45"/>
  <c r="D89" i="45"/>
  <c r="D88" i="45"/>
  <c r="D87" i="45"/>
  <c r="D86" i="45"/>
  <c r="D85" i="45"/>
  <c r="D84" i="45"/>
  <c r="D83" i="45"/>
  <c r="D82" i="45"/>
  <c r="D81" i="45"/>
  <c r="D78" i="45"/>
  <c r="D77" i="45"/>
  <c r="D76" i="45"/>
  <c r="D73" i="45"/>
  <c r="D72" i="45"/>
  <c r="D71" i="45"/>
  <c r="D70" i="45"/>
  <c r="D69" i="45"/>
  <c r="D68" i="45"/>
  <c r="D67" i="45"/>
  <c r="D63" i="45"/>
  <c r="D62" i="45"/>
  <c r="D61" i="45"/>
  <c r="D58" i="45"/>
  <c r="D57" i="45"/>
  <c r="D56" i="45"/>
  <c r="D55" i="45"/>
  <c r="D54" i="45"/>
  <c r="D53" i="45"/>
  <c r="D50" i="45"/>
  <c r="D49" i="45"/>
  <c r="D48" i="45"/>
  <c r="D47" i="45"/>
  <c r="D46" i="45"/>
  <c r="D45" i="45"/>
  <c r="D44" i="45"/>
  <c r="D43" i="45"/>
  <c r="D40" i="45"/>
  <c r="D39" i="45"/>
  <c r="D38" i="45"/>
  <c r="D37" i="45"/>
  <c r="D36" i="45"/>
  <c r="D35" i="45"/>
  <c r="D34" i="45"/>
  <c r="D33" i="45"/>
  <c r="D32" i="45"/>
  <c r="D31" i="45"/>
  <c r="D30" i="45"/>
  <c r="D26" i="45"/>
  <c r="D25" i="45"/>
  <c r="D24" i="45"/>
  <c r="D23" i="45"/>
  <c r="D22" i="45"/>
  <c r="D21" i="45"/>
  <c r="D20" i="45"/>
  <c r="D19" i="45"/>
  <c r="D15" i="45"/>
  <c r="D14" i="45"/>
  <c r="D13" i="45"/>
  <c r="D12" i="45"/>
  <c r="D11" i="45"/>
  <c r="D10" i="45"/>
  <c r="D9" i="45"/>
  <c r="D8" i="45"/>
  <c r="D7" i="45"/>
  <c r="D6" i="45"/>
  <c r="D5" i="45"/>
  <c r="D4" i="45"/>
  <c r="D164" i="49"/>
  <c r="D163" i="49"/>
  <c r="D162" i="49"/>
  <c r="D161" i="49"/>
  <c r="D160" i="49"/>
  <c r="D159" i="49"/>
  <c r="D158" i="49"/>
  <c r="D155" i="49"/>
  <c r="D154" i="49"/>
  <c r="D153" i="49"/>
  <c r="D152" i="49"/>
  <c r="D151" i="49"/>
  <c r="D148" i="49"/>
  <c r="D147" i="49"/>
  <c r="D146" i="49"/>
  <c r="D145" i="49"/>
  <c r="D144" i="49"/>
  <c r="D143" i="49"/>
  <c r="D142" i="49"/>
  <c r="D141" i="49"/>
  <c r="D140" i="49"/>
  <c r="D139" i="49"/>
  <c r="D138" i="49"/>
  <c r="D137" i="49"/>
  <c r="D134" i="49"/>
  <c r="D133" i="49"/>
  <c r="D132" i="49"/>
  <c r="D131" i="49"/>
  <c r="D130" i="49"/>
  <c r="D129" i="49"/>
  <c r="D128" i="49"/>
  <c r="D125" i="49"/>
  <c r="D124" i="49"/>
  <c r="D123" i="49"/>
  <c r="D122" i="49"/>
  <c r="D121" i="49"/>
  <c r="D120" i="49"/>
  <c r="D119" i="49"/>
  <c r="D118" i="49"/>
  <c r="D117" i="49"/>
  <c r="D116" i="49"/>
  <c r="D115" i="49"/>
  <c r="D114" i="49"/>
  <c r="D113" i="49"/>
  <c r="D112" i="49"/>
  <c r="D111" i="49"/>
  <c r="D110" i="49"/>
  <c r="D109" i="49"/>
  <c r="D108" i="49"/>
  <c r="D107" i="49"/>
  <c r="D106" i="49"/>
  <c r="D105" i="49"/>
  <c r="D104" i="49"/>
  <c r="D103" i="49"/>
  <c r="D102" i="49"/>
  <c r="D101" i="49"/>
  <c r="D98" i="49"/>
  <c r="D97" i="49"/>
  <c r="D96" i="49"/>
  <c r="D95" i="49"/>
  <c r="D94" i="49"/>
  <c r="D93" i="49"/>
  <c r="D92" i="49"/>
  <c r="D91" i="49"/>
  <c r="D90" i="49"/>
  <c r="D89" i="49"/>
  <c r="D88" i="49"/>
  <c r="D87" i="49"/>
  <c r="D86" i="49"/>
  <c r="D85" i="49"/>
  <c r="D84" i="49"/>
  <c r="D83" i="49"/>
  <c r="D82" i="49"/>
  <c r="D81" i="49"/>
  <c r="D78" i="49"/>
  <c r="D77" i="49"/>
  <c r="D76" i="49"/>
  <c r="D73" i="49"/>
  <c r="D72" i="49"/>
  <c r="D71" i="49"/>
  <c r="D70" i="49"/>
  <c r="D69" i="49"/>
  <c r="D68" i="49"/>
  <c r="D67" i="49"/>
  <c r="D63" i="49"/>
  <c r="D62" i="49"/>
  <c r="D61" i="49"/>
  <c r="D58" i="49"/>
  <c r="D57" i="49"/>
  <c r="D56" i="49"/>
  <c r="D55" i="49"/>
  <c r="D54" i="49"/>
  <c r="D53" i="49"/>
  <c r="D50" i="49"/>
  <c r="D49" i="49"/>
  <c r="D48" i="49"/>
  <c r="D47" i="49"/>
  <c r="D46" i="49"/>
  <c r="D45" i="49"/>
  <c r="D44" i="49"/>
  <c r="D43" i="49"/>
  <c r="D40" i="49"/>
  <c r="D39" i="49"/>
  <c r="D38" i="49"/>
  <c r="D37" i="49"/>
  <c r="D36" i="49"/>
  <c r="D35" i="49"/>
  <c r="D34" i="49"/>
  <c r="D33" i="49"/>
  <c r="D32" i="49"/>
  <c r="D31" i="49"/>
  <c r="D30" i="49"/>
  <c r="D26" i="49"/>
  <c r="D25" i="49"/>
  <c r="D24" i="49"/>
  <c r="D23" i="49"/>
  <c r="D22" i="49"/>
  <c r="D21" i="49"/>
  <c r="D20" i="49"/>
  <c r="D19" i="49"/>
  <c r="D15" i="49"/>
  <c r="D14" i="49"/>
  <c r="D13" i="49"/>
  <c r="D12" i="49"/>
  <c r="D11" i="49"/>
  <c r="D10" i="49"/>
  <c r="D9" i="49"/>
  <c r="D8" i="49"/>
  <c r="D7" i="49"/>
  <c r="D6" i="49"/>
  <c r="D5" i="49"/>
  <c r="D4" i="49"/>
  <c r="D164" i="42"/>
  <c r="D163" i="42"/>
  <c r="D162" i="42"/>
  <c r="D161" i="42"/>
  <c r="D160" i="42"/>
  <c r="D159" i="42"/>
  <c r="D158" i="42"/>
  <c r="D155" i="42"/>
  <c r="D154" i="42"/>
  <c r="D153" i="42"/>
  <c r="D152" i="42"/>
  <c r="D151" i="42"/>
  <c r="D148" i="42"/>
  <c r="D147" i="42"/>
  <c r="D146" i="42"/>
  <c r="D145" i="42"/>
  <c r="D144" i="42"/>
  <c r="D143" i="42"/>
  <c r="D142" i="42"/>
  <c r="D141" i="42"/>
  <c r="D140" i="42"/>
  <c r="D139" i="42"/>
  <c r="D138" i="42"/>
  <c r="D137" i="42"/>
  <c r="D134" i="42"/>
  <c r="D133" i="42"/>
  <c r="D132" i="42"/>
  <c r="D131" i="42"/>
  <c r="D130" i="42"/>
  <c r="D129" i="42"/>
  <c r="D128" i="42"/>
  <c r="D125" i="42"/>
  <c r="D124" i="42"/>
  <c r="D123" i="42"/>
  <c r="D122" i="42"/>
  <c r="D121" i="42"/>
  <c r="D120" i="42"/>
  <c r="D119" i="42"/>
  <c r="D118" i="42"/>
  <c r="D117" i="42"/>
  <c r="D116" i="42"/>
  <c r="D115" i="42"/>
  <c r="D114" i="42"/>
  <c r="D113" i="42"/>
  <c r="D112" i="42"/>
  <c r="D111" i="42"/>
  <c r="D110" i="42"/>
  <c r="D109" i="42"/>
  <c r="D108" i="42"/>
  <c r="D107" i="42"/>
  <c r="D106" i="42"/>
  <c r="D105" i="42"/>
  <c r="D104" i="42"/>
  <c r="D103" i="42"/>
  <c r="D102" i="42"/>
  <c r="D101" i="42"/>
  <c r="D98" i="42"/>
  <c r="D97" i="42"/>
  <c r="D96" i="42"/>
  <c r="D95" i="42"/>
  <c r="D94" i="42"/>
  <c r="D93" i="42"/>
  <c r="D92" i="42"/>
  <c r="D91" i="42"/>
  <c r="D90" i="42"/>
  <c r="D89" i="42"/>
  <c r="D88" i="42"/>
  <c r="D87" i="42"/>
  <c r="D86" i="42"/>
  <c r="D85" i="42"/>
  <c r="D84" i="42"/>
  <c r="D83" i="42"/>
  <c r="D82" i="42"/>
  <c r="D81" i="42"/>
  <c r="D78" i="42"/>
  <c r="D77" i="42"/>
  <c r="D76" i="42"/>
  <c r="D73" i="42"/>
  <c r="D72" i="42"/>
  <c r="D71" i="42"/>
  <c r="D70" i="42"/>
  <c r="D69" i="42"/>
  <c r="D68" i="42"/>
  <c r="D67" i="42"/>
  <c r="D63" i="42"/>
  <c r="D62" i="42"/>
  <c r="D61" i="42"/>
  <c r="D58" i="42"/>
  <c r="D57" i="42"/>
  <c r="D56" i="42"/>
  <c r="D55" i="42"/>
  <c r="D54" i="42"/>
  <c r="D53" i="42"/>
  <c r="D50" i="42"/>
  <c r="D49" i="42"/>
  <c r="D48" i="42"/>
  <c r="D47" i="42"/>
  <c r="D46" i="42"/>
  <c r="D45" i="42"/>
  <c r="D44" i="42"/>
  <c r="D43" i="42"/>
  <c r="D40" i="42"/>
  <c r="D39" i="42"/>
  <c r="D38" i="42"/>
  <c r="D37" i="42"/>
  <c r="D36" i="42"/>
  <c r="D35" i="42"/>
  <c r="D34" i="42"/>
  <c r="D33" i="42"/>
  <c r="D32" i="42"/>
  <c r="D31" i="42"/>
  <c r="D30" i="42"/>
  <c r="D26" i="42"/>
  <c r="D25" i="42"/>
  <c r="D24" i="42"/>
  <c r="D23" i="42"/>
  <c r="D22" i="42"/>
  <c r="D21" i="42"/>
  <c r="D20" i="42"/>
  <c r="D19" i="42"/>
  <c r="D15" i="42"/>
  <c r="D14" i="42"/>
  <c r="D13" i="42"/>
  <c r="D12" i="42"/>
  <c r="D11" i="42"/>
  <c r="D10" i="42"/>
  <c r="D9" i="42"/>
  <c r="D8" i="42"/>
  <c r="D7" i="42"/>
  <c r="D6" i="42"/>
  <c r="D5" i="42"/>
  <c r="D4" i="42"/>
  <c r="D164" i="48"/>
  <c r="D163" i="48"/>
  <c r="D162" i="48"/>
  <c r="D161" i="48"/>
  <c r="D160" i="48"/>
  <c r="D159" i="48"/>
  <c r="D158" i="48"/>
  <c r="D155" i="48"/>
  <c r="D154" i="48"/>
  <c r="D153" i="48"/>
  <c r="D152" i="48"/>
  <c r="D151" i="48"/>
  <c r="D148" i="48"/>
  <c r="D147" i="48"/>
  <c r="D146" i="48"/>
  <c r="D145" i="48"/>
  <c r="D144" i="48"/>
  <c r="D143" i="48"/>
  <c r="D142" i="48"/>
  <c r="D141" i="48"/>
  <c r="D140" i="48"/>
  <c r="D139" i="48"/>
  <c r="D138" i="48"/>
  <c r="D137" i="48"/>
  <c r="D134" i="48"/>
  <c r="D133" i="48"/>
  <c r="D132" i="48"/>
  <c r="D131" i="48"/>
  <c r="D130" i="48"/>
  <c r="D129" i="48"/>
  <c r="D128" i="48"/>
  <c r="D125" i="48"/>
  <c r="D124" i="48"/>
  <c r="D123" i="48"/>
  <c r="D122" i="48"/>
  <c r="D121" i="48"/>
  <c r="D120" i="48"/>
  <c r="D119" i="48"/>
  <c r="D118" i="48"/>
  <c r="D117" i="48"/>
  <c r="D116" i="48"/>
  <c r="D115" i="48"/>
  <c r="D114" i="48"/>
  <c r="D113" i="48"/>
  <c r="D112" i="48"/>
  <c r="D111" i="48"/>
  <c r="D110" i="48"/>
  <c r="D109" i="48"/>
  <c r="D108" i="48"/>
  <c r="D107" i="48"/>
  <c r="D106" i="48"/>
  <c r="D105" i="48"/>
  <c r="D104" i="48"/>
  <c r="D103" i="48"/>
  <c r="D102" i="48"/>
  <c r="D101" i="48"/>
  <c r="D98" i="48"/>
  <c r="D97" i="48"/>
  <c r="D96" i="48"/>
  <c r="D95" i="48"/>
  <c r="D94" i="48"/>
  <c r="D93" i="48"/>
  <c r="D92" i="48"/>
  <c r="D91" i="48"/>
  <c r="D90" i="48"/>
  <c r="D89" i="48"/>
  <c r="D88" i="48"/>
  <c r="D87" i="48"/>
  <c r="D86" i="48"/>
  <c r="D85" i="48"/>
  <c r="D84" i="48"/>
  <c r="D83" i="48"/>
  <c r="D82" i="48"/>
  <c r="D81" i="48"/>
  <c r="D78" i="48"/>
  <c r="D77" i="48"/>
  <c r="D76" i="48"/>
  <c r="D73" i="48"/>
  <c r="D72" i="48"/>
  <c r="D71" i="48"/>
  <c r="D70" i="48"/>
  <c r="D69" i="48"/>
  <c r="D68" i="48"/>
  <c r="D67" i="48"/>
  <c r="D63" i="48"/>
  <c r="D62" i="48"/>
  <c r="D61" i="48"/>
  <c r="D58" i="48"/>
  <c r="D57" i="48"/>
  <c r="D56" i="48"/>
  <c r="D55" i="48"/>
  <c r="D54" i="48"/>
  <c r="D53" i="48"/>
  <c r="D50" i="48"/>
  <c r="D49" i="48"/>
  <c r="D48" i="48"/>
  <c r="D47" i="48"/>
  <c r="D46" i="48"/>
  <c r="D45" i="48"/>
  <c r="D44" i="48"/>
  <c r="D43" i="48"/>
  <c r="D40" i="48"/>
  <c r="D39" i="48"/>
  <c r="D38" i="48"/>
  <c r="D37" i="48"/>
  <c r="D36" i="48"/>
  <c r="D35" i="48"/>
  <c r="D34" i="48"/>
  <c r="D33" i="48"/>
  <c r="D32" i="48"/>
  <c r="D31" i="48"/>
  <c r="D30" i="48"/>
  <c r="D26" i="48"/>
  <c r="D25" i="48"/>
  <c r="D24" i="48"/>
  <c r="D23" i="48"/>
  <c r="D22" i="48"/>
  <c r="D21" i="48"/>
  <c r="D20" i="48"/>
  <c r="D19" i="48"/>
  <c r="D15" i="48"/>
  <c r="D14" i="48"/>
  <c r="D13" i="48"/>
  <c r="D12" i="48"/>
  <c r="D11" i="48"/>
  <c r="D10" i="48"/>
  <c r="D9" i="48"/>
  <c r="D8" i="48"/>
  <c r="D7" i="48"/>
  <c r="D6" i="48"/>
  <c r="D5" i="48"/>
  <c r="D4" i="48"/>
  <c r="F184" i="27"/>
  <c r="F187" i="27"/>
  <c r="H9" i="4"/>
  <c r="B9" i="4" s="1"/>
  <c r="B13" i="7" s="1"/>
  <c r="J9" i="4"/>
  <c r="BE18" i="2"/>
  <c r="BH18" i="2"/>
  <c r="BK18" i="2"/>
  <c r="F190" i="27"/>
  <c r="F11" i="47"/>
  <c r="F12" i="47" s="1"/>
  <c r="F13" i="47" s="1"/>
  <c r="F10" i="47"/>
  <c r="C162" i="50"/>
  <c r="C161" i="50"/>
  <c r="C160" i="50"/>
  <c r="C159" i="50"/>
  <c r="C158" i="50"/>
  <c r="C155" i="50"/>
  <c r="C151" i="50"/>
  <c r="C148" i="50"/>
  <c r="C147" i="50"/>
  <c r="C146" i="50"/>
  <c r="C145" i="50"/>
  <c r="C144" i="50"/>
  <c r="C143" i="50"/>
  <c r="C142" i="50"/>
  <c r="C141" i="50"/>
  <c r="C140" i="50"/>
  <c r="C139" i="50"/>
  <c r="C138" i="50"/>
  <c r="C137" i="50"/>
  <c r="C134" i="50"/>
  <c r="C133" i="50"/>
  <c r="C132" i="50"/>
  <c r="C131" i="50"/>
  <c r="C130" i="50"/>
  <c r="C129" i="50"/>
  <c r="C128" i="50"/>
  <c r="C125" i="50"/>
  <c r="C124" i="50"/>
  <c r="C123" i="50"/>
  <c r="C122" i="50"/>
  <c r="C121" i="50"/>
  <c r="C120" i="50"/>
  <c r="C119" i="50"/>
  <c r="C118" i="50"/>
  <c r="C117" i="50"/>
  <c r="C116" i="50"/>
  <c r="C115" i="50"/>
  <c r="C114" i="50"/>
  <c r="C108" i="50"/>
  <c r="C107" i="50"/>
  <c r="C106" i="50"/>
  <c r="C105" i="50"/>
  <c r="C104" i="50"/>
  <c r="C103" i="50"/>
  <c r="C102" i="50"/>
  <c r="C101" i="50"/>
  <c r="C78" i="50"/>
  <c r="C77" i="50"/>
  <c r="C76" i="50"/>
  <c r="C73" i="50"/>
  <c r="C72" i="50"/>
  <c r="C71" i="50"/>
  <c r="C70" i="50"/>
  <c r="C69" i="50"/>
  <c r="C68" i="50"/>
  <c r="C67" i="50"/>
  <c r="C63" i="50"/>
  <c r="C62" i="50"/>
  <c r="C61" i="50"/>
  <c r="C58" i="50"/>
  <c r="C57" i="50"/>
  <c r="C56" i="50"/>
  <c r="C55" i="50"/>
  <c r="C54" i="50"/>
  <c r="C53" i="50"/>
  <c r="C50" i="50"/>
  <c r="C49" i="50"/>
  <c r="C48" i="50"/>
  <c r="C43" i="50"/>
  <c r="C40" i="50"/>
  <c r="C39" i="50"/>
  <c r="C38" i="50"/>
  <c r="C32" i="50"/>
  <c r="C31" i="50"/>
  <c r="C30" i="50"/>
  <c r="C26" i="50"/>
  <c r="C25" i="50"/>
  <c r="C24" i="50"/>
  <c r="C23" i="50"/>
  <c r="C22" i="50"/>
  <c r="C21" i="50"/>
  <c r="C20" i="50"/>
  <c r="C19" i="50"/>
  <c r="C15" i="50"/>
  <c r="C14" i="50"/>
  <c r="C13" i="50"/>
  <c r="C12" i="50"/>
  <c r="C11" i="50"/>
  <c r="C10" i="50"/>
  <c r="C9" i="50"/>
  <c r="C8" i="50"/>
  <c r="C7" i="50"/>
  <c r="C6" i="50"/>
  <c r="C5" i="50"/>
  <c r="C4" i="50"/>
  <c r="C158" i="45"/>
  <c r="C162" i="45"/>
  <c r="C161" i="45"/>
  <c r="C160" i="45"/>
  <c r="C159" i="45"/>
  <c r="C155" i="45"/>
  <c r="C151" i="45"/>
  <c r="C148" i="45"/>
  <c r="C147" i="45"/>
  <c r="C146" i="45"/>
  <c r="C145" i="45"/>
  <c r="C144" i="45"/>
  <c r="C143" i="45"/>
  <c r="C142" i="45"/>
  <c r="C141" i="45"/>
  <c r="C140" i="45"/>
  <c r="C139" i="45"/>
  <c r="C138" i="45"/>
  <c r="C137" i="45"/>
  <c r="C134" i="45"/>
  <c r="C133" i="45"/>
  <c r="C132" i="45"/>
  <c r="C131" i="45"/>
  <c r="C130" i="45"/>
  <c r="C129" i="45"/>
  <c r="C128" i="45"/>
  <c r="C125" i="45"/>
  <c r="C124" i="45"/>
  <c r="C123" i="45"/>
  <c r="C122" i="45"/>
  <c r="C121" i="45"/>
  <c r="C120" i="45"/>
  <c r="C119" i="45"/>
  <c r="C118" i="45"/>
  <c r="C117" i="45"/>
  <c r="C116" i="45"/>
  <c r="C115" i="45"/>
  <c r="C114" i="45"/>
  <c r="C108" i="45"/>
  <c r="C107" i="45"/>
  <c r="C106" i="45"/>
  <c r="C105" i="45"/>
  <c r="C104" i="45"/>
  <c r="C103" i="45"/>
  <c r="C102" i="45"/>
  <c r="C101" i="45"/>
  <c r="C78" i="45"/>
  <c r="C77" i="45"/>
  <c r="C76" i="45"/>
  <c r="C73" i="45"/>
  <c r="C72" i="45"/>
  <c r="C71" i="45"/>
  <c r="C70" i="45"/>
  <c r="C69" i="45"/>
  <c r="C68" i="45"/>
  <c r="C63" i="45"/>
  <c r="C62" i="45"/>
  <c r="C61" i="45"/>
  <c r="C58" i="45"/>
  <c r="C57" i="45"/>
  <c r="C56" i="45"/>
  <c r="C55" i="45"/>
  <c r="C54" i="45"/>
  <c r="C53" i="45"/>
  <c r="C50" i="45"/>
  <c r="C49" i="45"/>
  <c r="C48" i="45"/>
  <c r="C43" i="45"/>
  <c r="C40" i="45"/>
  <c r="C39" i="45"/>
  <c r="C38" i="45"/>
  <c r="C31" i="45"/>
  <c r="C32" i="45"/>
  <c r="C30" i="45"/>
  <c r="C26" i="45"/>
  <c r="C25" i="45"/>
  <c r="C24" i="45"/>
  <c r="C23" i="45"/>
  <c r="C22" i="45"/>
  <c r="C21" i="45"/>
  <c r="C20" i="45"/>
  <c r="C19" i="45"/>
  <c r="C15" i="45"/>
  <c r="C14" i="45"/>
  <c r="C13" i="45"/>
  <c r="C12" i="45"/>
  <c r="C11" i="45"/>
  <c r="C10" i="45"/>
  <c r="C9" i="45"/>
  <c r="C8" i="45"/>
  <c r="C7" i="45"/>
  <c r="C6" i="45"/>
  <c r="C5" i="45"/>
  <c r="C4" i="45"/>
  <c r="C164" i="49"/>
  <c r="C161" i="49"/>
  <c r="C160" i="49"/>
  <c r="C159" i="49"/>
  <c r="C158" i="49"/>
  <c r="C155" i="49"/>
  <c r="C151" i="49"/>
  <c r="C148" i="49"/>
  <c r="C147" i="49"/>
  <c r="C146" i="49"/>
  <c r="C145" i="49"/>
  <c r="C144" i="49"/>
  <c r="C143" i="49"/>
  <c r="C142" i="49"/>
  <c r="C141" i="49"/>
  <c r="C140" i="49"/>
  <c r="C139" i="49"/>
  <c r="C138" i="49"/>
  <c r="C137" i="49"/>
  <c r="C134" i="49"/>
  <c r="C133" i="49"/>
  <c r="C132" i="49"/>
  <c r="C131" i="49"/>
  <c r="C130" i="49"/>
  <c r="C129" i="49"/>
  <c r="C128" i="49"/>
  <c r="C125" i="49"/>
  <c r="C124" i="49"/>
  <c r="C123" i="49"/>
  <c r="C122" i="49"/>
  <c r="C121" i="49"/>
  <c r="C120" i="49"/>
  <c r="C119" i="49"/>
  <c r="C118" i="49"/>
  <c r="C117" i="49"/>
  <c r="C116" i="49"/>
  <c r="C115" i="49"/>
  <c r="C114" i="49"/>
  <c r="C108" i="49"/>
  <c r="C107" i="49"/>
  <c r="C106" i="49"/>
  <c r="C105" i="49"/>
  <c r="C104" i="49"/>
  <c r="C103" i="49"/>
  <c r="C102" i="49"/>
  <c r="C101" i="49"/>
  <c r="C78" i="49"/>
  <c r="C77" i="49"/>
  <c r="C76" i="49"/>
  <c r="C73" i="49"/>
  <c r="C72" i="49"/>
  <c r="C71" i="49"/>
  <c r="C70" i="49"/>
  <c r="C69" i="49"/>
  <c r="C68" i="49"/>
  <c r="C67" i="49"/>
  <c r="C63" i="49"/>
  <c r="C62" i="49"/>
  <c r="C61" i="49"/>
  <c r="C58" i="49"/>
  <c r="C57" i="49"/>
  <c r="C56" i="49"/>
  <c r="C55" i="49"/>
  <c r="C54" i="49"/>
  <c r="C53" i="49"/>
  <c r="C50" i="49"/>
  <c r="C49" i="49"/>
  <c r="C48" i="49"/>
  <c r="C43" i="49"/>
  <c r="C40" i="49"/>
  <c r="C39" i="49"/>
  <c r="C38" i="49"/>
  <c r="C32" i="49"/>
  <c r="C31" i="49"/>
  <c r="C30" i="49"/>
  <c r="C26" i="49"/>
  <c r="C25" i="49"/>
  <c r="C24" i="49"/>
  <c r="C23" i="49"/>
  <c r="C22" i="49"/>
  <c r="C21" i="49"/>
  <c r="C20" i="49"/>
  <c r="C19" i="49"/>
  <c r="C15" i="49"/>
  <c r="C14" i="49"/>
  <c r="C13" i="49"/>
  <c r="C12" i="49"/>
  <c r="C11" i="49"/>
  <c r="C10" i="49"/>
  <c r="C9" i="49"/>
  <c r="C8" i="49"/>
  <c r="C7" i="49"/>
  <c r="C6" i="49"/>
  <c r="C5" i="49"/>
  <c r="C4" i="49"/>
  <c r="C164" i="48"/>
  <c r="C161" i="48"/>
  <c r="C160" i="48"/>
  <c r="C159" i="48"/>
  <c r="C158" i="48"/>
  <c r="C155" i="48"/>
  <c r="C151" i="48"/>
  <c r="C148" i="48"/>
  <c r="C147" i="48"/>
  <c r="C146" i="48"/>
  <c r="C145" i="48"/>
  <c r="C144" i="48"/>
  <c r="C143" i="48"/>
  <c r="C142" i="48"/>
  <c r="C141" i="48"/>
  <c r="C140" i="48"/>
  <c r="C139" i="48"/>
  <c r="C138" i="48"/>
  <c r="C137" i="48"/>
  <c r="C134" i="48"/>
  <c r="C133" i="48"/>
  <c r="C132" i="48"/>
  <c r="C131" i="48"/>
  <c r="C130" i="48"/>
  <c r="C129" i="48"/>
  <c r="C128" i="48"/>
  <c r="C125" i="48"/>
  <c r="C124" i="48"/>
  <c r="C123" i="48"/>
  <c r="C122" i="48"/>
  <c r="C121" i="48"/>
  <c r="C120" i="48"/>
  <c r="C119" i="48"/>
  <c r="C118" i="48"/>
  <c r="C117" i="48"/>
  <c r="C116" i="48"/>
  <c r="C115" i="48"/>
  <c r="C114" i="48"/>
  <c r="C108" i="48"/>
  <c r="C107" i="48"/>
  <c r="C106" i="48"/>
  <c r="C105" i="48"/>
  <c r="C104" i="48"/>
  <c r="C103" i="48"/>
  <c r="C102" i="48"/>
  <c r="C101" i="48"/>
  <c r="C78" i="48"/>
  <c r="C77" i="48"/>
  <c r="C76" i="48"/>
  <c r="C73" i="48"/>
  <c r="C72" i="48"/>
  <c r="C71" i="48"/>
  <c r="C70" i="48"/>
  <c r="C69" i="48"/>
  <c r="C68" i="48"/>
  <c r="C67" i="48"/>
  <c r="C63" i="48"/>
  <c r="C62" i="48"/>
  <c r="C61" i="48"/>
  <c r="C58" i="48"/>
  <c r="C57" i="48"/>
  <c r="C56" i="48"/>
  <c r="C55" i="48"/>
  <c r="C54" i="48"/>
  <c r="C53" i="48"/>
  <c r="C50" i="48"/>
  <c r="C49" i="48"/>
  <c r="C48" i="48"/>
  <c r="C43" i="48"/>
  <c r="C40" i="48"/>
  <c r="C39" i="48"/>
  <c r="C38" i="48"/>
  <c r="C32" i="48"/>
  <c r="C31" i="48"/>
  <c r="C30" i="48"/>
  <c r="C26" i="48"/>
  <c r="C25" i="48"/>
  <c r="C24" i="48"/>
  <c r="C23" i="48"/>
  <c r="C22" i="48"/>
  <c r="C21" i="48"/>
  <c r="C20" i="48"/>
  <c r="C19" i="48"/>
  <c r="C15" i="48"/>
  <c r="C14" i="48"/>
  <c r="C13" i="48"/>
  <c r="C12" i="48"/>
  <c r="C11" i="48"/>
  <c r="C10" i="48"/>
  <c r="C9" i="48"/>
  <c r="C8" i="48"/>
  <c r="C7" i="48"/>
  <c r="C6" i="48"/>
  <c r="C5" i="48"/>
  <c r="C4" i="48"/>
  <c r="F7" i="47"/>
  <c r="F186" i="27"/>
  <c r="C161" i="42"/>
  <c r="C164" i="42"/>
  <c r="C160" i="42"/>
  <c r="C159" i="42"/>
  <c r="C158" i="42"/>
  <c r="C148" i="42"/>
  <c r="C147" i="42"/>
  <c r="C146" i="42"/>
  <c r="C145" i="42"/>
  <c r="C144" i="42"/>
  <c r="C143" i="42"/>
  <c r="C142" i="42"/>
  <c r="C141" i="42"/>
  <c r="C140" i="42"/>
  <c r="C139" i="42"/>
  <c r="C138" i="42"/>
  <c r="C137" i="42"/>
  <c r="C151" i="42"/>
  <c r="C155" i="42"/>
  <c r="C134" i="42"/>
  <c r="C133" i="42"/>
  <c r="C132" i="42"/>
  <c r="C131" i="42"/>
  <c r="C130" i="42"/>
  <c r="C129" i="42"/>
  <c r="C128" i="42"/>
  <c r="C125" i="42"/>
  <c r="C124" i="42"/>
  <c r="C123" i="42"/>
  <c r="C122" i="42"/>
  <c r="C121" i="42"/>
  <c r="C120" i="42"/>
  <c r="C119" i="42"/>
  <c r="C118" i="42"/>
  <c r="C117" i="42"/>
  <c r="C116" i="42"/>
  <c r="C115" i="42"/>
  <c r="C114" i="42"/>
  <c r="C108" i="42"/>
  <c r="C107" i="42"/>
  <c r="C106" i="42"/>
  <c r="C105" i="42"/>
  <c r="C104" i="42"/>
  <c r="C103" i="42"/>
  <c r="C102" i="42"/>
  <c r="C101" i="42"/>
  <c r="C78" i="42"/>
  <c r="C77" i="42"/>
  <c r="C76" i="42"/>
  <c r="C73" i="42"/>
  <c r="C72" i="42"/>
  <c r="C71" i="42"/>
  <c r="C70" i="42"/>
  <c r="C69" i="42"/>
  <c r="C68" i="42"/>
  <c r="C67" i="42"/>
  <c r="C63" i="42"/>
  <c r="C62" i="42"/>
  <c r="C61" i="42"/>
  <c r="C58" i="42"/>
  <c r="C57" i="42"/>
  <c r="C56" i="42"/>
  <c r="C55" i="42"/>
  <c r="C54" i="42"/>
  <c r="C53" i="42"/>
  <c r="C50" i="42"/>
  <c r="C49" i="42"/>
  <c r="C48" i="42"/>
  <c r="C43" i="42"/>
  <c r="C40" i="42" l="1"/>
  <c r="C39" i="42"/>
  <c r="C38" i="42"/>
  <c r="C32" i="42"/>
  <c r="C31" i="42"/>
  <c r="C30" i="42"/>
  <c r="C26" i="42"/>
  <c r="C25" i="42"/>
  <c r="C24" i="42"/>
  <c r="C23" i="42"/>
  <c r="C22" i="42"/>
  <c r="C21" i="42"/>
  <c r="C20" i="42"/>
  <c r="C19" i="42"/>
  <c r="C15" i="42"/>
  <c r="C14" i="42"/>
  <c r="C13" i="42"/>
  <c r="C12" i="42"/>
  <c r="C11" i="42"/>
  <c r="C10" i="42"/>
  <c r="C9" i="42"/>
  <c r="C8" i="42"/>
  <c r="C7" i="42"/>
  <c r="C6" i="42"/>
  <c r="C5" i="42"/>
  <c r="C4" i="42"/>
  <c r="D192" i="27"/>
  <c r="C175" i="27"/>
  <c r="C9" i="27"/>
  <c r="C176" i="27"/>
  <c r="C368" i="27"/>
  <c r="C369" i="27"/>
  <c r="O2" i="8" l="1"/>
  <c r="H11" i="8" l="1"/>
  <c r="H10" i="8"/>
  <c r="H8" i="8"/>
  <c r="H7" i="8"/>
  <c r="H6" i="8"/>
  <c r="H5" i="8"/>
  <c r="H4" i="8"/>
  <c r="A9" i="7"/>
  <c r="A10" i="7"/>
  <c r="A11" i="7"/>
  <c r="A12" i="7"/>
  <c r="A13" i="7"/>
  <c r="A14" i="7"/>
  <c r="A15" i="7"/>
  <c r="A16" i="7"/>
  <c r="A17" i="7"/>
  <c r="A18" i="7"/>
  <c r="A19" i="7"/>
  <c r="A20" i="7"/>
  <c r="A8" i="7"/>
  <c r="I11" i="8" l="1"/>
  <c r="J11" i="8"/>
  <c r="I10" i="8"/>
  <c r="J10" i="8"/>
  <c r="J8" i="8"/>
  <c r="I8" i="8"/>
  <c r="I7" i="8"/>
  <c r="J7" i="8"/>
  <c r="I6" i="8"/>
  <c r="J6" i="8"/>
  <c r="J5" i="8"/>
  <c r="I5" i="8"/>
  <c r="I4" i="8"/>
  <c r="J4" i="8"/>
  <c r="F26" i="25"/>
  <c r="I66" i="6" l="1"/>
  <c r="K66" i="6"/>
  <c r="M66" i="6"/>
  <c r="M67" i="6" s="1"/>
  <c r="M68" i="6" s="1"/>
  <c r="M69" i="6" s="1"/>
  <c r="M70" i="6" s="1"/>
  <c r="M71" i="6" s="1"/>
  <c r="N66" i="6"/>
  <c r="O66" i="6"/>
  <c r="I67" i="6"/>
  <c r="K67" i="6"/>
  <c r="N67" i="6"/>
  <c r="N68" i="6" s="1"/>
  <c r="N69" i="6" s="1"/>
  <c r="N70" i="6" s="1"/>
  <c r="N71" i="6" s="1"/>
  <c r="O67" i="6"/>
  <c r="I68" i="6"/>
  <c r="K68" i="6"/>
  <c r="O68" i="6"/>
  <c r="O69" i="6" s="1"/>
  <c r="O70" i="6" s="1"/>
  <c r="O71" i="6" s="1"/>
  <c r="I69" i="6"/>
  <c r="K69" i="6"/>
  <c r="I70" i="6"/>
  <c r="K70" i="6"/>
  <c r="I71" i="6"/>
  <c r="K71" i="6"/>
  <c r="I11" i="6"/>
  <c r="I12" i="6"/>
  <c r="K12" i="6"/>
  <c r="H11" i="4"/>
  <c r="B11" i="4" s="1"/>
  <c r="B15" i="7" s="1"/>
  <c r="H12" i="4"/>
  <c r="J12" i="4"/>
  <c r="BK20" i="2" l="1"/>
  <c r="BH20" i="2"/>
  <c r="BE20" i="2"/>
  <c r="K11" i="6" l="1"/>
  <c r="J11" i="4"/>
  <c r="AD70" i="33"/>
  <c r="AC70" i="33"/>
  <c r="AB70" i="33"/>
  <c r="AA70" i="33"/>
  <c r="Z70" i="33"/>
  <c r="Y70" i="33"/>
  <c r="X70" i="33"/>
  <c r="W70" i="33"/>
  <c r="V70" i="33"/>
  <c r="U70" i="33"/>
  <c r="T70" i="33"/>
  <c r="S70" i="33"/>
  <c r="R70" i="33"/>
  <c r="Q70" i="33"/>
  <c r="P70" i="33"/>
  <c r="O70" i="33"/>
  <c r="N70" i="33"/>
  <c r="M70" i="33"/>
  <c r="L70" i="33"/>
  <c r="K70" i="33"/>
  <c r="J70" i="33"/>
  <c r="I70" i="33"/>
  <c r="H70" i="33"/>
  <c r="G70" i="33"/>
  <c r="F70" i="33"/>
  <c r="E70" i="33"/>
  <c r="D70" i="33"/>
  <c r="C70" i="33"/>
  <c r="Y10" i="33"/>
  <c r="Y11" i="33"/>
  <c r="Y12" i="33"/>
  <c r="Y13" i="33"/>
  <c r="Y14" i="33"/>
  <c r="Y15" i="33"/>
  <c r="Y16" i="33"/>
  <c r="Y17" i="33"/>
  <c r="Y18" i="33"/>
  <c r="Y19" i="33"/>
  <c r="Y20" i="33"/>
  <c r="Y21" i="33"/>
  <c r="Y22" i="33"/>
  <c r="Y23" i="33"/>
  <c r="Y24" i="33"/>
  <c r="Y25" i="33"/>
  <c r="Y26" i="33"/>
  <c r="Y27" i="33"/>
  <c r="Y28" i="33"/>
  <c r="Y29" i="33"/>
  <c r="Y30" i="33"/>
  <c r="Y31" i="33"/>
  <c r="Y33" i="33"/>
  <c r="Y34" i="33"/>
  <c r="Y35" i="33"/>
  <c r="Y36" i="33"/>
  <c r="Y9" i="33"/>
  <c r="J4" i="6"/>
  <c r="K158" i="6" l="1"/>
  <c r="K159" i="6"/>
  <c r="K160" i="6"/>
  <c r="K161" i="6"/>
  <c r="K162" i="6"/>
  <c r="K163" i="6"/>
  <c r="K164" i="6"/>
  <c r="K157" i="6"/>
  <c r="K139" i="6"/>
  <c r="K140" i="6"/>
  <c r="K141" i="6"/>
  <c r="K142" i="6"/>
  <c r="K143" i="6"/>
  <c r="K144" i="6"/>
  <c r="K145" i="6"/>
  <c r="K146" i="6"/>
  <c r="K147" i="6"/>
  <c r="K148" i="6"/>
  <c r="K149" i="6"/>
  <c r="K150" i="6"/>
  <c r="K151" i="6"/>
  <c r="K152" i="6"/>
  <c r="K153" i="6"/>
  <c r="K138" i="6"/>
  <c r="K102" i="6"/>
  <c r="K103" i="6"/>
  <c r="K104" i="6"/>
  <c r="K105" i="6"/>
  <c r="K106" i="6"/>
  <c r="K107" i="6"/>
  <c r="K108" i="6"/>
  <c r="K109" i="6"/>
  <c r="K110" i="6"/>
  <c r="K111" i="6"/>
  <c r="K112" i="6"/>
  <c r="K113" i="6"/>
  <c r="K114" i="6"/>
  <c r="K115" i="6"/>
  <c r="K116" i="6"/>
  <c r="K117" i="6"/>
  <c r="K118" i="6"/>
  <c r="K119" i="6"/>
  <c r="K120" i="6"/>
  <c r="K121" i="6"/>
  <c r="K122" i="6"/>
  <c r="K101" i="6"/>
  <c r="K53" i="6"/>
  <c r="K54" i="6"/>
  <c r="K55" i="6"/>
  <c r="K56" i="6"/>
  <c r="K57" i="6"/>
  <c r="K58" i="6"/>
  <c r="K59" i="6"/>
  <c r="K60" i="6"/>
  <c r="K61" i="6"/>
  <c r="K62" i="6"/>
  <c r="K63" i="6"/>
  <c r="K64" i="6"/>
  <c r="K65" i="6"/>
  <c r="K72" i="6"/>
  <c r="K73" i="6"/>
  <c r="K74" i="6"/>
  <c r="K75" i="6"/>
  <c r="K76" i="6"/>
  <c r="K77" i="6"/>
  <c r="K78" i="6"/>
  <c r="K79" i="6"/>
  <c r="K80" i="6"/>
  <c r="K81" i="6"/>
  <c r="K82" i="6"/>
  <c r="K83" i="6"/>
  <c r="K84" i="6"/>
  <c r="K85" i="6"/>
  <c r="K86" i="6"/>
  <c r="K87" i="6"/>
  <c r="K88" i="6"/>
  <c r="K89" i="6"/>
  <c r="K52" i="6"/>
  <c r="K5" i="6"/>
  <c r="K6" i="6"/>
  <c r="K7" i="6"/>
  <c r="K8" i="6"/>
  <c r="K9" i="6"/>
  <c r="K10"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 i="6"/>
  <c r="J5" i="4"/>
  <c r="J6" i="4"/>
  <c r="J7" i="4"/>
  <c r="J8" i="4"/>
  <c r="J10" i="4"/>
  <c r="J13" i="4"/>
  <c r="J14" i="4"/>
  <c r="J15" i="4"/>
  <c r="J16" i="4"/>
  <c r="J4" i="4"/>
  <c r="I16" i="6" l="1"/>
  <c r="H16" i="4"/>
  <c r="C49" i="30" l="1"/>
  <c r="I14" i="6"/>
  <c r="H14" i="4"/>
  <c r="H15" i="4"/>
  <c r="BK23" i="2"/>
  <c r="BH23" i="2"/>
  <c r="BE23" i="2"/>
  <c r="I110" i="6" l="1"/>
  <c r="I111" i="6"/>
  <c r="A30" i="6"/>
  <c r="A31" i="6"/>
  <c r="I29" i="6"/>
  <c r="I30" i="6"/>
  <c r="I31" i="6"/>
  <c r="I32" i="6"/>
  <c r="A29" i="6"/>
  <c r="I23" i="6" l="1"/>
  <c r="I24" i="6"/>
  <c r="BE14" i="2"/>
  <c r="BE15" i="2"/>
  <c r="BE16" i="2"/>
  <c r="BE17" i="2"/>
  <c r="BE19" i="2"/>
  <c r="BE21" i="2"/>
  <c r="BE22" i="2"/>
  <c r="BE24" i="2"/>
  <c r="BE13" i="2"/>
  <c r="B195" i="29"/>
  <c r="B104" i="29"/>
  <c r="B351" i="29"/>
  <c r="B286" i="29"/>
  <c r="D207" i="28"/>
  <c r="B262" i="29"/>
  <c r="B240" i="29"/>
  <c r="B214" i="29"/>
  <c r="D203" i="12"/>
  <c r="B197" i="29"/>
  <c r="B188" i="29"/>
  <c r="B184" i="29"/>
  <c r="B163" i="29"/>
  <c r="B107" i="29"/>
  <c r="B115" i="29" s="1"/>
  <c r="B135" i="29" s="1"/>
  <c r="B196" i="29" s="1"/>
  <c r="B25" i="29"/>
  <c r="B13" i="29"/>
  <c r="B29" i="29"/>
  <c r="B34" i="29" s="1"/>
  <c r="B368" i="29"/>
  <c r="B370" i="29"/>
  <c r="B369" i="29"/>
  <c r="F24" i="25" l="1"/>
  <c r="F21" i="25"/>
  <c r="F12" i="25"/>
  <c r="F13" i="25"/>
  <c r="F14" i="25"/>
  <c r="F15" i="25"/>
  <c r="F16" i="25"/>
  <c r="F17" i="25"/>
  <c r="F18" i="25"/>
  <c r="F11" i="25"/>
  <c r="I108" i="6"/>
  <c r="F200" i="28"/>
  <c r="F265" i="28"/>
  <c r="D108" i="33"/>
  <c r="B106" i="29"/>
  <c r="F291" i="28"/>
  <c r="F278" i="28" l="1"/>
  <c r="E361" i="27"/>
  <c r="C51" i="30" l="1"/>
  <c r="C45" i="30"/>
  <c r="C40" i="30"/>
  <c r="C36" i="30"/>
  <c r="C24" i="30"/>
  <c r="C19" i="30"/>
  <c r="C13" i="30"/>
  <c r="C7" i="30"/>
  <c r="I117" i="6"/>
  <c r="I118" i="6"/>
  <c r="I119" i="6"/>
  <c r="I120" i="6"/>
  <c r="O74" i="33" l="1"/>
  <c r="AD91" i="33"/>
  <c r="AC91" i="33"/>
  <c r="AB91" i="33"/>
  <c r="AA91" i="33"/>
  <c r="Z91" i="33"/>
  <c r="Y91" i="33"/>
  <c r="X91" i="33"/>
  <c r="W91" i="33"/>
  <c r="V91" i="33"/>
  <c r="U91" i="33"/>
  <c r="T91" i="33"/>
  <c r="S91" i="33"/>
  <c r="R91" i="33"/>
  <c r="Q91" i="33"/>
  <c r="P91" i="33"/>
  <c r="O91" i="33"/>
  <c r="N91" i="33"/>
  <c r="M91" i="33"/>
  <c r="L91" i="33"/>
  <c r="K91" i="33"/>
  <c r="J91" i="33"/>
  <c r="I91" i="33"/>
  <c r="H91" i="33"/>
  <c r="G91" i="33"/>
  <c r="F91" i="33"/>
  <c r="E91" i="33"/>
  <c r="D91" i="33"/>
  <c r="C91" i="33"/>
  <c r="U35" i="33"/>
  <c r="AC83" i="33" s="1"/>
  <c r="U34" i="33"/>
  <c r="AB83" i="33" s="1"/>
  <c r="U33" i="33"/>
  <c r="AA83" i="33" s="1"/>
  <c r="U32" i="33"/>
  <c r="Z83" i="33" s="1"/>
  <c r="U31" i="33"/>
  <c r="Y83" i="33" s="1"/>
  <c r="U30" i="33"/>
  <c r="X83" i="33" s="1"/>
  <c r="U28" i="33"/>
  <c r="V83" i="33" s="1"/>
  <c r="U27" i="33"/>
  <c r="U83" i="33" s="1"/>
  <c r="U26" i="33"/>
  <c r="T83" i="33" s="1"/>
  <c r="U25" i="33"/>
  <c r="S83" i="33" s="1"/>
  <c r="U24" i="33"/>
  <c r="R83" i="33" s="1"/>
  <c r="U23" i="33"/>
  <c r="Q83" i="33" s="1"/>
  <c r="U20" i="33"/>
  <c r="N83" i="33" s="1"/>
  <c r="U18" i="33"/>
  <c r="L83" i="33" s="1"/>
  <c r="U16" i="33"/>
  <c r="J83" i="33" s="1"/>
  <c r="U15" i="33"/>
  <c r="I83" i="33" s="1"/>
  <c r="U12" i="33"/>
  <c r="F83" i="33" s="1"/>
  <c r="U11" i="33"/>
  <c r="E83" i="33" s="1"/>
  <c r="U10" i="33"/>
  <c r="D83" i="33" s="1"/>
  <c r="D212" i="28" l="1"/>
  <c r="I26" i="6"/>
  <c r="B107" i="33" l="1"/>
  <c r="B108" i="33" s="1"/>
  <c r="AD80" i="33"/>
  <c r="AC80" i="33"/>
  <c r="AB80" i="33"/>
  <c r="AA80" i="33"/>
  <c r="Y80" i="33"/>
  <c r="W80" i="33"/>
  <c r="U80" i="33"/>
  <c r="R80" i="33"/>
  <c r="P80" i="33"/>
  <c r="O80" i="33"/>
  <c r="M80" i="33"/>
  <c r="K80" i="33"/>
  <c r="J80" i="33"/>
  <c r="I80" i="33"/>
  <c r="H80" i="33"/>
  <c r="G80" i="33"/>
  <c r="F80" i="33"/>
  <c r="E80" i="33"/>
  <c r="D80" i="33"/>
  <c r="C80" i="33"/>
  <c r="AC41" i="33"/>
  <c r="AA41" i="33"/>
  <c r="Y41" i="33"/>
  <c r="X41" i="33"/>
  <c r="W41" i="33"/>
  <c r="V41" i="33"/>
  <c r="U41" i="33"/>
  <c r="T41" i="33"/>
  <c r="S41" i="33"/>
  <c r="R41" i="33"/>
  <c r="Q41" i="33"/>
  <c r="O41" i="33"/>
  <c r="N41" i="33"/>
  <c r="J41" i="33"/>
  <c r="I41" i="33"/>
  <c r="F41" i="33"/>
  <c r="E41" i="33"/>
  <c r="D41" i="33"/>
  <c r="C41" i="33"/>
  <c r="B41" i="33"/>
  <c r="AF36" i="33"/>
  <c r="S36" i="33"/>
  <c r="AD73" i="33" s="1"/>
  <c r="Q36" i="33"/>
  <c r="AD72" i="33" s="1"/>
  <c r="N36" i="33"/>
  <c r="L36" i="33"/>
  <c r="AD62" i="33" s="1"/>
  <c r="J36" i="33"/>
  <c r="AD57" i="33" s="1"/>
  <c r="G36" i="33"/>
  <c r="AD51" i="33" s="1"/>
  <c r="AF35" i="33"/>
  <c r="S35" i="33"/>
  <c r="AC73" i="33" s="1"/>
  <c r="Q35" i="33"/>
  <c r="AC72" i="33" s="1"/>
  <c r="N35" i="33"/>
  <c r="O35" i="33" s="1"/>
  <c r="AC63" i="33" s="1"/>
  <c r="L35" i="33"/>
  <c r="AC62" i="33" s="1"/>
  <c r="J35" i="33"/>
  <c r="AC57" i="33" s="1"/>
  <c r="AF34" i="33"/>
  <c r="S34" i="33"/>
  <c r="AB73" i="33" s="1"/>
  <c r="Q34" i="33"/>
  <c r="AB72" i="33" s="1"/>
  <c r="N34" i="33"/>
  <c r="O34" i="33" s="1"/>
  <c r="AB63" i="33" s="1"/>
  <c r="L34" i="33"/>
  <c r="AB62" i="33" s="1"/>
  <c r="J34" i="33"/>
  <c r="AB57" i="33" s="1"/>
  <c r="D34" i="33"/>
  <c r="AB41" i="33" s="1"/>
  <c r="AF33" i="33"/>
  <c r="S33" i="33"/>
  <c r="AA73" i="33" s="1"/>
  <c r="Q33" i="33"/>
  <c r="AA72" i="33" s="1"/>
  <c r="N33" i="33"/>
  <c r="O33" i="33" s="1"/>
  <c r="AA63" i="33" s="1"/>
  <c r="L33" i="33"/>
  <c r="AA62" i="33" s="1"/>
  <c r="J33" i="33"/>
  <c r="AA57" i="33" s="1"/>
  <c r="AF32" i="33"/>
  <c r="S32" i="33"/>
  <c r="Z73" i="33" s="1"/>
  <c r="Q32" i="33"/>
  <c r="Z72" i="33" s="1"/>
  <c r="N32" i="33"/>
  <c r="O32" i="33" s="1"/>
  <c r="Z63" i="33" s="1"/>
  <c r="L32" i="33"/>
  <c r="Z62" i="33" s="1"/>
  <c r="J32" i="33"/>
  <c r="Z57" i="33" s="1"/>
  <c r="D32" i="33"/>
  <c r="Z41" i="33" s="1"/>
  <c r="AF31" i="33"/>
  <c r="S31" i="33"/>
  <c r="Y73" i="33" s="1"/>
  <c r="Q31" i="33"/>
  <c r="Y72" i="33" s="1"/>
  <c r="N31" i="33"/>
  <c r="O31" i="33" s="1"/>
  <c r="Y63" i="33" s="1"/>
  <c r="L31" i="33"/>
  <c r="Y62" i="33" s="1"/>
  <c r="J31" i="33"/>
  <c r="Y57" i="33" s="1"/>
  <c r="AF30" i="33"/>
  <c r="S30" i="33"/>
  <c r="X73" i="33" s="1"/>
  <c r="Q30" i="33"/>
  <c r="X72" i="33" s="1"/>
  <c r="N30" i="33"/>
  <c r="O30" i="33" s="1"/>
  <c r="X63" i="33" s="1"/>
  <c r="L30" i="33"/>
  <c r="X62" i="33" s="1"/>
  <c r="J30" i="33"/>
  <c r="X57" i="33" s="1"/>
  <c r="AF29" i="33"/>
  <c r="S29" i="33"/>
  <c r="W73" i="33" s="1"/>
  <c r="Q29" i="33"/>
  <c r="W72" i="33" s="1"/>
  <c r="N29" i="33"/>
  <c r="L29" i="33"/>
  <c r="W62" i="33" s="1"/>
  <c r="J29" i="33"/>
  <c r="W57" i="33" s="1"/>
  <c r="AF28" i="33"/>
  <c r="S28" i="33"/>
  <c r="V73" i="33" s="1"/>
  <c r="Q28" i="33"/>
  <c r="V72" i="33" s="1"/>
  <c r="N28" i="33"/>
  <c r="O28" i="33" s="1"/>
  <c r="V63" i="33" s="1"/>
  <c r="L28" i="33"/>
  <c r="V62" i="33" s="1"/>
  <c r="J28" i="33"/>
  <c r="V57" i="33" s="1"/>
  <c r="AF27" i="33"/>
  <c r="S27" i="33"/>
  <c r="U73" i="33" s="1"/>
  <c r="Q27" i="33"/>
  <c r="U72" i="33" s="1"/>
  <c r="N27" i="33"/>
  <c r="O27" i="33" s="1"/>
  <c r="U63" i="33" s="1"/>
  <c r="L27" i="33"/>
  <c r="U62" i="33" s="1"/>
  <c r="J27" i="33"/>
  <c r="U57" i="33" s="1"/>
  <c r="AF26" i="33"/>
  <c r="S26" i="33"/>
  <c r="T73" i="33" s="1"/>
  <c r="Q26" i="33"/>
  <c r="T72" i="33" s="1"/>
  <c r="N26" i="33"/>
  <c r="O26" i="33" s="1"/>
  <c r="T63" i="33" s="1"/>
  <c r="L26" i="33"/>
  <c r="T62" i="33" s="1"/>
  <c r="J26" i="33"/>
  <c r="T57" i="33" s="1"/>
  <c r="AF25" i="33"/>
  <c r="S25" i="33"/>
  <c r="S73" i="33" s="1"/>
  <c r="Q25" i="33"/>
  <c r="S72" i="33" s="1"/>
  <c r="N25" i="33"/>
  <c r="O25" i="33" s="1"/>
  <c r="S63" i="33" s="1"/>
  <c r="L25" i="33"/>
  <c r="S62" i="33" s="1"/>
  <c r="J25" i="33"/>
  <c r="S57" i="33" s="1"/>
  <c r="AF24" i="33"/>
  <c r="S24" i="33"/>
  <c r="R73" i="33" s="1"/>
  <c r="Q24" i="33"/>
  <c r="R72" i="33" s="1"/>
  <c r="N24" i="33"/>
  <c r="O24" i="33" s="1"/>
  <c r="R63" i="33" s="1"/>
  <c r="L24" i="33"/>
  <c r="R62" i="33" s="1"/>
  <c r="J24" i="33"/>
  <c r="R57" i="33" s="1"/>
  <c r="AF23" i="33"/>
  <c r="S23" i="33"/>
  <c r="Q73" i="33" s="1"/>
  <c r="Q23" i="33"/>
  <c r="Q72" i="33" s="1"/>
  <c r="N23" i="33"/>
  <c r="O23" i="33" s="1"/>
  <c r="Q63" i="33" s="1"/>
  <c r="L23" i="33"/>
  <c r="Q62" i="33" s="1"/>
  <c r="J23" i="33"/>
  <c r="Q57" i="33" s="1"/>
  <c r="AF22" i="33"/>
  <c r="S22" i="33"/>
  <c r="P73" i="33" s="1"/>
  <c r="Q22" i="33"/>
  <c r="P72" i="33" s="1"/>
  <c r="N22" i="33"/>
  <c r="K22" i="33"/>
  <c r="L22" i="33" s="1"/>
  <c r="P62" i="33" s="1"/>
  <c r="J22" i="33"/>
  <c r="P57" i="33" s="1"/>
  <c r="AF21" i="33"/>
  <c r="S21" i="33"/>
  <c r="O73" i="33" s="1"/>
  <c r="Q21" i="33"/>
  <c r="O72" i="33" s="1"/>
  <c r="N21" i="33"/>
  <c r="L21" i="33"/>
  <c r="O62" i="33" s="1"/>
  <c r="J21" i="33"/>
  <c r="O57" i="33" s="1"/>
  <c r="AF20" i="33"/>
  <c r="S20" i="33"/>
  <c r="N73" i="33" s="1"/>
  <c r="Q20" i="33"/>
  <c r="N72" i="33" s="1"/>
  <c r="N20" i="33"/>
  <c r="O20" i="33" s="1"/>
  <c r="N63" i="33" s="1"/>
  <c r="L20" i="33"/>
  <c r="N62" i="33" s="1"/>
  <c r="J20" i="33"/>
  <c r="N57" i="33" s="1"/>
  <c r="AF19" i="33"/>
  <c r="S19" i="33"/>
  <c r="M73" i="33" s="1"/>
  <c r="Q19" i="33"/>
  <c r="M72" i="33" s="1"/>
  <c r="N19" i="33"/>
  <c r="L19" i="33"/>
  <c r="M62" i="33" s="1"/>
  <c r="J19" i="33"/>
  <c r="M57" i="33" s="1"/>
  <c r="AF18" i="33"/>
  <c r="S18" i="33"/>
  <c r="L73" i="33" s="1"/>
  <c r="Q18" i="33"/>
  <c r="L72" i="33" s="1"/>
  <c r="N18" i="33"/>
  <c r="O18" i="33" s="1"/>
  <c r="L63" i="33" s="1"/>
  <c r="L18" i="33"/>
  <c r="J18" i="33"/>
  <c r="L57" i="33" s="1"/>
  <c r="D18" i="33"/>
  <c r="L41" i="33" s="1"/>
  <c r="AF17" i="33"/>
  <c r="S17" i="33"/>
  <c r="K73" i="33" s="1"/>
  <c r="Q17" i="33"/>
  <c r="K72" i="33" s="1"/>
  <c r="N17" i="33"/>
  <c r="L17" i="33"/>
  <c r="K62" i="33" s="1"/>
  <c r="J17" i="33"/>
  <c r="K57" i="33" s="1"/>
  <c r="AF16" i="33"/>
  <c r="S16" i="33"/>
  <c r="J73" i="33" s="1"/>
  <c r="Q16" i="33"/>
  <c r="J72" i="33" s="1"/>
  <c r="N16" i="33"/>
  <c r="O16" i="33" s="1"/>
  <c r="J63" i="33" s="1"/>
  <c r="L16" i="33"/>
  <c r="J62" i="33" s="1"/>
  <c r="J16" i="33"/>
  <c r="J57" i="33" s="1"/>
  <c r="AF15" i="33"/>
  <c r="S15" i="33"/>
  <c r="I73" i="33" s="1"/>
  <c r="Q15" i="33"/>
  <c r="I72" i="33" s="1"/>
  <c r="N15" i="33"/>
  <c r="O15" i="33" s="1"/>
  <c r="I63" i="33" s="1"/>
  <c r="L15" i="33"/>
  <c r="I62" i="33" s="1"/>
  <c r="J15" i="33"/>
  <c r="I57" i="33" s="1"/>
  <c r="AF14" i="33"/>
  <c r="S14" i="33"/>
  <c r="H73" i="33" s="1"/>
  <c r="Q14" i="33"/>
  <c r="H72" i="33" s="1"/>
  <c r="N14" i="33"/>
  <c r="L14" i="33"/>
  <c r="H62" i="33" s="1"/>
  <c r="J14" i="33"/>
  <c r="H57" i="33" s="1"/>
  <c r="AF13" i="33"/>
  <c r="S13" i="33"/>
  <c r="G73" i="33" s="1"/>
  <c r="Q13" i="33"/>
  <c r="G72" i="33" s="1"/>
  <c r="N13" i="33"/>
  <c r="L13" i="33"/>
  <c r="G62" i="33" s="1"/>
  <c r="J13" i="33"/>
  <c r="G57" i="33" s="1"/>
  <c r="D13" i="33"/>
  <c r="D14" i="33" s="1"/>
  <c r="H41" i="33" s="1"/>
  <c r="AF12" i="33"/>
  <c r="S12" i="33"/>
  <c r="F73" i="33" s="1"/>
  <c r="Q12" i="33"/>
  <c r="F72" i="33" s="1"/>
  <c r="N12" i="33"/>
  <c r="O12" i="33" s="1"/>
  <c r="F63" i="33" s="1"/>
  <c r="L12" i="33"/>
  <c r="F62" i="33" s="1"/>
  <c r="J12" i="33"/>
  <c r="F57" i="33" s="1"/>
  <c r="AF11" i="33"/>
  <c r="S11" i="33"/>
  <c r="E73" i="33" s="1"/>
  <c r="Q11" i="33"/>
  <c r="E72" i="33" s="1"/>
  <c r="N11" i="33"/>
  <c r="O11" i="33" s="1"/>
  <c r="E63" i="33" s="1"/>
  <c r="L11" i="33"/>
  <c r="E62" i="33" s="1"/>
  <c r="J11" i="33"/>
  <c r="E57" i="33" s="1"/>
  <c r="AF10" i="33"/>
  <c r="S10" i="33"/>
  <c r="D73" i="33" s="1"/>
  <c r="Q10" i="33"/>
  <c r="D72" i="33" s="1"/>
  <c r="N10" i="33"/>
  <c r="O10" i="33" s="1"/>
  <c r="D63" i="33" s="1"/>
  <c r="L10" i="33"/>
  <c r="D62" i="33" s="1"/>
  <c r="J10" i="33"/>
  <c r="D57" i="33" s="1"/>
  <c r="AF9" i="33"/>
  <c r="S9" i="33"/>
  <c r="C73" i="33" s="1"/>
  <c r="Q9" i="33"/>
  <c r="C72" i="33" s="1"/>
  <c r="N9" i="33"/>
  <c r="L9" i="33"/>
  <c r="C62" i="33" s="1"/>
  <c r="J9" i="33"/>
  <c r="C57" i="33" s="1"/>
  <c r="AF8" i="33"/>
  <c r="V8" i="33"/>
  <c r="V9" i="33" s="1"/>
  <c r="T8" i="33"/>
  <c r="T9" i="33" s="1"/>
  <c r="S8" i="33"/>
  <c r="B73" i="33" s="1"/>
  <c r="Q8" i="33"/>
  <c r="B72" i="33" s="1"/>
  <c r="N8" i="33"/>
  <c r="O8" i="33" s="1"/>
  <c r="B63" i="33" s="1"/>
  <c r="M8" i="33"/>
  <c r="M9" i="33" s="1"/>
  <c r="M10" i="33" s="1"/>
  <c r="M11" i="33" s="1"/>
  <c r="M12" i="33" s="1"/>
  <c r="M13" i="33" s="1"/>
  <c r="L8" i="33"/>
  <c r="B62" i="33" s="1"/>
  <c r="J8" i="33"/>
  <c r="B57" i="33" s="1"/>
  <c r="C8" i="33"/>
  <c r="B1" i="33"/>
  <c r="E10" i="31"/>
  <c r="A15" i="5"/>
  <c r="A16" i="5"/>
  <c r="A17" i="5"/>
  <c r="A14" i="5"/>
  <c r="J7" i="31"/>
  <c r="J6" i="31"/>
  <c r="H7" i="31"/>
  <c r="H6" i="31"/>
  <c r="N4" i="5"/>
  <c r="N5" i="5"/>
  <c r="N6" i="5"/>
  <c r="N3" i="5"/>
  <c r="D17" i="31" l="1"/>
  <c r="D17" i="5" s="1"/>
  <c r="C16" i="31"/>
  <c r="C16" i="5" s="1"/>
  <c r="D14" i="31"/>
  <c r="D14" i="5" s="1"/>
  <c r="D16" i="31"/>
  <c r="D16" i="5" s="1"/>
  <c r="C15" i="31"/>
  <c r="C14" i="31"/>
  <c r="C14" i="5" s="1"/>
  <c r="C17" i="31"/>
  <c r="D15" i="31"/>
  <c r="D15" i="5" s="1"/>
  <c r="C15" i="5"/>
  <c r="C17" i="5"/>
  <c r="T10" i="33"/>
  <c r="T11" i="33" s="1"/>
  <c r="T12" i="33" s="1"/>
  <c r="T13" i="33" s="1"/>
  <c r="U9" i="33"/>
  <c r="C83" i="33" s="1"/>
  <c r="W8" i="33"/>
  <c r="B94" i="33" s="1"/>
  <c r="G41" i="33"/>
  <c r="D17" i="33"/>
  <c r="K41" i="33" s="1"/>
  <c r="D19" i="33"/>
  <c r="D22" i="33" s="1"/>
  <c r="O9" i="33"/>
  <c r="C63" i="33" s="1"/>
  <c r="O13" i="33"/>
  <c r="G63" i="33" s="1"/>
  <c r="M14" i="33"/>
  <c r="E8" i="33"/>
  <c r="B43" i="33" s="1"/>
  <c r="H8" i="33"/>
  <c r="B61" i="33" s="1"/>
  <c r="B52" i="33" s="1"/>
  <c r="B77" i="33" s="1"/>
  <c r="C9" i="33"/>
  <c r="G8" i="33"/>
  <c r="B51" i="33" s="1"/>
  <c r="M41" i="33"/>
  <c r="F8" i="33"/>
  <c r="B48" i="33" s="1"/>
  <c r="V10" i="33"/>
  <c r="W9" i="33"/>
  <c r="C94" i="33" s="1"/>
  <c r="L62" i="33"/>
  <c r="D206" i="28"/>
  <c r="J3" i="5"/>
  <c r="J4" i="5" s="1"/>
  <c r="J5" i="5" s="1"/>
  <c r="J6" i="5" s="1"/>
  <c r="I3" i="5"/>
  <c r="I4" i="5" s="1"/>
  <c r="I5" i="5" s="1"/>
  <c r="I6" i="5" s="1"/>
  <c r="G3" i="5"/>
  <c r="G4" i="5" s="1"/>
  <c r="G5" i="5" s="1"/>
  <c r="G6" i="5" s="1"/>
  <c r="O3" i="5"/>
  <c r="BB3" i="2"/>
  <c r="D218" i="28"/>
  <c r="I158" i="6"/>
  <c r="I159" i="6"/>
  <c r="I160" i="6"/>
  <c r="I161" i="6"/>
  <c r="I162" i="6"/>
  <c r="I163" i="6"/>
  <c r="I164" i="6"/>
  <c r="I157" i="6"/>
  <c r="I139" i="6"/>
  <c r="I140" i="6"/>
  <c r="I141" i="6"/>
  <c r="I142" i="6"/>
  <c r="I143" i="6"/>
  <c r="I144" i="6"/>
  <c r="I145" i="6"/>
  <c r="I146" i="6"/>
  <c r="I147" i="6"/>
  <c r="I148" i="6"/>
  <c r="I149" i="6"/>
  <c r="I151" i="6"/>
  <c r="I152" i="6"/>
  <c r="I153" i="6"/>
  <c r="I138" i="6"/>
  <c r="I102" i="6"/>
  <c r="I103" i="6"/>
  <c r="I104" i="6"/>
  <c r="I105" i="6"/>
  <c r="I106" i="6"/>
  <c r="I107" i="6"/>
  <c r="I109" i="6"/>
  <c r="I112" i="6"/>
  <c r="I113" i="6"/>
  <c r="I114" i="6"/>
  <c r="I115" i="6"/>
  <c r="I116" i="6"/>
  <c r="I121" i="6"/>
  <c r="I122" i="6"/>
  <c r="I101" i="6"/>
  <c r="I53" i="6"/>
  <c r="I54" i="6"/>
  <c r="I55" i="6"/>
  <c r="I56" i="6"/>
  <c r="I57" i="6"/>
  <c r="I58" i="6"/>
  <c r="I59" i="6"/>
  <c r="I60" i="6"/>
  <c r="I61" i="6"/>
  <c r="I62" i="6"/>
  <c r="I63" i="6"/>
  <c r="I64" i="6"/>
  <c r="I65" i="6"/>
  <c r="I72" i="6"/>
  <c r="I73" i="6"/>
  <c r="I74" i="6"/>
  <c r="I75" i="6"/>
  <c r="I76" i="6"/>
  <c r="I77" i="6"/>
  <c r="I78" i="6"/>
  <c r="I79" i="6"/>
  <c r="I80" i="6"/>
  <c r="I81" i="6"/>
  <c r="I82" i="6"/>
  <c r="I83" i="6"/>
  <c r="I84" i="6"/>
  <c r="I85" i="6"/>
  <c r="I86" i="6"/>
  <c r="I87" i="6"/>
  <c r="I88" i="6"/>
  <c r="I89" i="6"/>
  <c r="I52" i="6"/>
  <c r="I5" i="6"/>
  <c r="I6" i="6"/>
  <c r="I7" i="6"/>
  <c r="I8" i="6"/>
  <c r="I9" i="6"/>
  <c r="I10" i="6"/>
  <c r="I13" i="6"/>
  <c r="I15" i="6"/>
  <c r="I17" i="6"/>
  <c r="I18" i="6"/>
  <c r="I19" i="6"/>
  <c r="I20" i="6"/>
  <c r="I21" i="6"/>
  <c r="I22" i="6"/>
  <c r="I25" i="6"/>
  <c r="I27" i="6"/>
  <c r="I28" i="6"/>
  <c r="I33" i="6"/>
  <c r="I34" i="6"/>
  <c r="I35" i="6"/>
  <c r="I36" i="6"/>
  <c r="I37" i="6"/>
  <c r="I38" i="6"/>
  <c r="I39" i="6"/>
  <c r="I40" i="6"/>
  <c r="I41" i="6"/>
  <c r="I4" i="6"/>
  <c r="B4" i="6" s="1"/>
  <c r="C31" i="30"/>
  <c r="T14" i="33" l="1"/>
  <c r="U13" i="33"/>
  <c r="G83" i="33" s="1"/>
  <c r="B95" i="33"/>
  <c r="P41" i="33"/>
  <c r="D36" i="33"/>
  <c r="AD41" i="33" s="1"/>
  <c r="E9" i="33"/>
  <c r="C43" i="33" s="1"/>
  <c r="F9" i="33"/>
  <c r="C48" i="33" s="1"/>
  <c r="C10" i="33"/>
  <c r="H9" i="33"/>
  <c r="C61" i="33" s="1"/>
  <c r="C52" i="33" s="1"/>
  <c r="C77" i="33" s="1"/>
  <c r="G9" i="33"/>
  <c r="C51" i="33" s="1"/>
  <c r="W10" i="33"/>
  <c r="D94" i="33" s="1"/>
  <c r="V11" i="33"/>
  <c r="M15" i="33"/>
  <c r="M16" i="33" s="1"/>
  <c r="M17" i="33" s="1"/>
  <c r="O14" i="33"/>
  <c r="H63" i="33" s="1"/>
  <c r="T15" i="33" l="1"/>
  <c r="T16" i="33" s="1"/>
  <c r="T17" i="33" s="1"/>
  <c r="U14" i="33"/>
  <c r="H83" i="33" s="1"/>
  <c r="L4" i="6"/>
  <c r="C95" i="33"/>
  <c r="AG9" i="33" s="1"/>
  <c r="AH9" i="33" s="1"/>
  <c r="W11" i="33"/>
  <c r="E94" i="33" s="1"/>
  <c r="V12" i="33"/>
  <c r="F10" i="33"/>
  <c r="D48" i="33" s="1"/>
  <c r="E10" i="33"/>
  <c r="D43" i="33" s="1"/>
  <c r="C11" i="33"/>
  <c r="H10" i="33"/>
  <c r="D61" i="33" s="1"/>
  <c r="D52" i="33" s="1"/>
  <c r="D77" i="33" s="1"/>
  <c r="G10" i="33"/>
  <c r="D51" i="33" s="1"/>
  <c r="M18" i="33"/>
  <c r="M19" i="33" s="1"/>
  <c r="O17" i="33"/>
  <c r="K63" i="33" s="1"/>
  <c r="T18" i="33" l="1"/>
  <c r="T19" i="33" s="1"/>
  <c r="U17" i="33"/>
  <c r="K83" i="33" s="1"/>
  <c r="V13" i="33"/>
  <c r="W12" i="33"/>
  <c r="F94" i="33" s="1"/>
  <c r="M20" i="33"/>
  <c r="M21" i="33" s="1"/>
  <c r="O19" i="33"/>
  <c r="M63" i="33" s="1"/>
  <c r="C12" i="33"/>
  <c r="G11" i="33"/>
  <c r="E51" i="33" s="1"/>
  <c r="E11" i="33"/>
  <c r="E43" i="33" s="1"/>
  <c r="H11" i="33"/>
  <c r="E61" i="33" s="1"/>
  <c r="E52" i="33" s="1"/>
  <c r="E77" i="33" s="1"/>
  <c r="F11" i="33"/>
  <c r="E48" i="33" s="1"/>
  <c r="D95" i="33"/>
  <c r="AG10" i="33" s="1"/>
  <c r="AH10" i="33" s="1"/>
  <c r="B355" i="29"/>
  <c r="B357" i="29" s="1"/>
  <c r="B353" i="29"/>
  <c r="B354" i="29" s="1"/>
  <c r="B356" i="29" s="1"/>
  <c r="B352" i="29"/>
  <c r="B339" i="29"/>
  <c r="B304" i="29"/>
  <c r="B312" i="29" s="1"/>
  <c r="B320" i="29" s="1"/>
  <c r="B328" i="29"/>
  <c r="B347" i="29" s="1"/>
  <c r="B275" i="29"/>
  <c r="B292" i="29" s="1"/>
  <c r="B273" i="29"/>
  <c r="B283" i="29" s="1"/>
  <c r="B335" i="29" s="1"/>
  <c r="B252" i="29"/>
  <c r="B300" i="29" s="1"/>
  <c r="B269" i="29"/>
  <c r="B255" i="29"/>
  <c r="B303" i="29" s="1"/>
  <c r="B261" i="29"/>
  <c r="B268" i="29" s="1"/>
  <c r="B285" i="29" s="1"/>
  <c r="B337" i="29" s="1"/>
  <c r="B254" i="29"/>
  <c r="B302" i="29" s="1"/>
  <c r="B253" i="29"/>
  <c r="B260" i="29" s="1"/>
  <c r="B267" i="29" s="1"/>
  <c r="B274" i="29" s="1"/>
  <c r="B291" i="29" s="1"/>
  <c r="B241" i="29"/>
  <c r="B85" i="29"/>
  <c r="B71" i="29"/>
  <c r="B57" i="29"/>
  <c r="B46" i="29"/>
  <c r="B42" i="29"/>
  <c r="E95" i="33" l="1"/>
  <c r="AG11" i="33" s="1"/>
  <c r="AH11" i="33" s="1"/>
  <c r="T20" i="33"/>
  <c r="T21" i="33" s="1"/>
  <c r="U19" i="33"/>
  <c r="M83" i="33" s="1"/>
  <c r="V14" i="33"/>
  <c r="W13" i="33"/>
  <c r="G94" i="33" s="1"/>
  <c r="M22" i="33"/>
  <c r="O21" i="33"/>
  <c r="O63" i="33" s="1"/>
  <c r="H12" i="33"/>
  <c r="F61" i="33" s="1"/>
  <c r="F52" i="33" s="1"/>
  <c r="F77" i="33" s="1"/>
  <c r="F12" i="33"/>
  <c r="F48" i="33" s="1"/>
  <c r="C13" i="33"/>
  <c r="E12" i="33"/>
  <c r="F43" i="33" s="1"/>
  <c r="G12" i="33"/>
  <c r="F51" i="33" s="1"/>
  <c r="B326" i="29"/>
  <c r="B345" i="29" s="1"/>
  <c r="B338" i="29"/>
  <c r="B324" i="29"/>
  <c r="B325" i="29"/>
  <c r="B301" i="29"/>
  <c r="B311" i="29"/>
  <c r="B319" i="29" s="1"/>
  <c r="B310" i="29"/>
  <c r="B309" i="29"/>
  <c r="B290" i="29"/>
  <c r="B284" i="29"/>
  <c r="B336" i="29" s="1"/>
  <c r="B256" i="29"/>
  <c r="B259" i="29"/>
  <c r="B308" i="29" s="1"/>
  <c r="B41" i="29"/>
  <c r="B30" i="29"/>
  <c r="B22" i="29"/>
  <c r="B340" i="29" l="1"/>
  <c r="T22" i="33"/>
  <c r="U21" i="33"/>
  <c r="O83" i="33" s="1"/>
  <c r="V15" i="33"/>
  <c r="W14" i="33"/>
  <c r="H94" i="33" s="1"/>
  <c r="H13" i="33"/>
  <c r="G61" i="33" s="1"/>
  <c r="G52" i="33" s="1"/>
  <c r="G77" i="33" s="1"/>
  <c r="G13" i="33"/>
  <c r="G51" i="33" s="1"/>
  <c r="F13" i="33"/>
  <c r="G48" i="33" s="1"/>
  <c r="C14" i="33"/>
  <c r="E13" i="33"/>
  <c r="G43" i="33" s="1"/>
  <c r="M23" i="33"/>
  <c r="M24" i="33" s="1"/>
  <c r="M25" i="33" s="1"/>
  <c r="M26" i="33" s="1"/>
  <c r="M27" i="33" s="1"/>
  <c r="M28" i="33" s="1"/>
  <c r="M29" i="33" s="1"/>
  <c r="O22" i="33"/>
  <c r="P63" i="33" s="1"/>
  <c r="F95" i="33"/>
  <c r="AG12" i="33" s="1"/>
  <c r="AH12" i="33" s="1"/>
  <c r="B343" i="29"/>
  <c r="B313" i="29"/>
  <c r="B316" i="29"/>
  <c r="B317" i="29"/>
  <c r="B305" i="29"/>
  <c r="B318" i="29"/>
  <c r="B287" i="29"/>
  <c r="B266" i="29"/>
  <c r="B263" i="29"/>
  <c r="B217" i="29"/>
  <c r="B224" i="29" s="1"/>
  <c r="B232" i="29" s="1"/>
  <c r="B216" i="29"/>
  <c r="B223" i="29" s="1"/>
  <c r="B231" i="29" s="1"/>
  <c r="B215" i="29"/>
  <c r="B222" i="29" s="1"/>
  <c r="B230" i="29" s="1"/>
  <c r="B221" i="29"/>
  <c r="B229" i="29" s="1"/>
  <c r="B237" i="29" s="1"/>
  <c r="T23" i="33" l="1"/>
  <c r="T24" i="33" s="1"/>
  <c r="T25" i="33" s="1"/>
  <c r="T26" i="33" s="1"/>
  <c r="T27" i="33" s="1"/>
  <c r="T28" i="33" s="1"/>
  <c r="T29" i="33" s="1"/>
  <c r="U22" i="33"/>
  <c r="P83" i="33" s="1"/>
  <c r="G95" i="33"/>
  <c r="AG13" i="33" s="1"/>
  <c r="AH13" i="33" s="1"/>
  <c r="V16" i="33"/>
  <c r="W15" i="33"/>
  <c r="I94" i="33" s="1"/>
  <c r="H14" i="33"/>
  <c r="H61" i="33" s="1"/>
  <c r="H52" i="33" s="1"/>
  <c r="H77" i="33" s="1"/>
  <c r="G14" i="33"/>
  <c r="H51" i="33" s="1"/>
  <c r="F14" i="33"/>
  <c r="H48" i="33" s="1"/>
  <c r="C15" i="33"/>
  <c r="E14" i="33"/>
  <c r="H43" i="33" s="1"/>
  <c r="M30" i="33"/>
  <c r="M31" i="33" s="1"/>
  <c r="M32" i="33" s="1"/>
  <c r="M33" i="33" s="1"/>
  <c r="M34" i="33" s="1"/>
  <c r="M35" i="33" s="1"/>
  <c r="M36" i="33" s="1"/>
  <c r="O36" i="33" s="1"/>
  <c r="AD63" i="33" s="1"/>
  <c r="O29" i="33"/>
  <c r="W63" i="33" s="1"/>
  <c r="B321" i="29"/>
  <c r="B344" i="29"/>
  <c r="B367" i="29" s="1"/>
  <c r="B373" i="29" s="1"/>
  <c r="B270" i="29"/>
  <c r="B226" i="29"/>
  <c r="B234" i="29"/>
  <c r="B246" i="29" s="1"/>
  <c r="T30" i="33" l="1"/>
  <c r="T31" i="33" s="1"/>
  <c r="T32" i="33" s="1"/>
  <c r="T33" i="33" s="1"/>
  <c r="T34" i="33" s="1"/>
  <c r="T35" i="33" s="1"/>
  <c r="T36" i="33" s="1"/>
  <c r="U36" i="33" s="1"/>
  <c r="AD83" i="33" s="1"/>
  <c r="U29" i="33"/>
  <c r="W83" i="33" s="1"/>
  <c r="H95" i="33"/>
  <c r="AG14" i="33" s="1"/>
  <c r="AH14" i="33" s="1"/>
  <c r="E15" i="33"/>
  <c r="I43" i="33" s="1"/>
  <c r="G15" i="33"/>
  <c r="I51" i="33" s="1"/>
  <c r="F15" i="33"/>
  <c r="I48" i="33" s="1"/>
  <c r="C16" i="33"/>
  <c r="H15" i="33"/>
  <c r="I61" i="33" s="1"/>
  <c r="I52" i="33" s="1"/>
  <c r="I77" i="33" s="1"/>
  <c r="V17" i="33"/>
  <c r="W16" i="33"/>
  <c r="J94" i="33" s="1"/>
  <c r="B206" i="29"/>
  <c r="B198" i="29"/>
  <c r="B189" i="29"/>
  <c r="B175" i="29"/>
  <c r="B166" i="29"/>
  <c r="B155" i="29"/>
  <c r="B150" i="29"/>
  <c r="B142" i="29"/>
  <c r="B130" i="29"/>
  <c r="B123" i="29"/>
  <c r="B116" i="29"/>
  <c r="B109" i="29"/>
  <c r="B100" i="29"/>
  <c r="B82" i="29"/>
  <c r="B81" i="29"/>
  <c r="B48" i="29"/>
  <c r="B52" i="29"/>
  <c r="A37" i="29"/>
  <c r="A60" i="29" s="1"/>
  <c r="A89" i="29" s="1"/>
  <c r="A118" i="29" s="1"/>
  <c r="A144" i="29" s="1"/>
  <c r="A169" i="29" s="1"/>
  <c r="B32" i="29"/>
  <c r="B84" i="29" s="1"/>
  <c r="B74" i="29"/>
  <c r="B83" i="29" s="1"/>
  <c r="B23" i="29"/>
  <c r="B179" i="29" s="1"/>
  <c r="B180" i="29" s="1"/>
  <c r="B17" i="29"/>
  <c r="A210" i="29" l="1"/>
  <c r="A248" i="29" s="1"/>
  <c r="A279" i="29" s="1"/>
  <c r="A296" i="29" s="1"/>
  <c r="A331" i="29" s="1"/>
  <c r="A362" i="29" s="1"/>
  <c r="A201" i="29"/>
  <c r="B31" i="29"/>
  <c r="B26" i="29"/>
  <c r="F16" i="33"/>
  <c r="J48" i="33" s="1"/>
  <c r="G16" i="33"/>
  <c r="J51" i="33" s="1"/>
  <c r="E16" i="33"/>
  <c r="J43" i="33" s="1"/>
  <c r="C17" i="33"/>
  <c r="H16" i="33"/>
  <c r="J61" i="33" s="1"/>
  <c r="J52" i="33" s="1"/>
  <c r="J77" i="33" s="1"/>
  <c r="V18" i="33"/>
  <c r="W17" i="33"/>
  <c r="K94" i="33" s="1"/>
  <c r="I95" i="33"/>
  <c r="AG15" i="33" s="1"/>
  <c r="AH15" i="33" s="1"/>
  <c r="B19" i="29"/>
  <c r="B65" i="29"/>
  <c r="B75" i="29" s="1"/>
  <c r="B56" i="29"/>
  <c r="B58" i="29" s="1"/>
  <c r="B49" i="29"/>
  <c r="B95" i="29"/>
  <c r="B14" i="29"/>
  <c r="B64" i="29"/>
  <c r="B43" i="29"/>
  <c r="J95" i="33" l="1"/>
  <c r="AG16" i="33" s="1"/>
  <c r="AH16" i="33" s="1"/>
  <c r="F17" i="33"/>
  <c r="K48" i="33" s="1"/>
  <c r="E17" i="33"/>
  <c r="K43" i="33" s="1"/>
  <c r="C18" i="33"/>
  <c r="H17" i="33"/>
  <c r="K61" i="33" s="1"/>
  <c r="K52" i="33" s="1"/>
  <c r="K77" i="33" s="1"/>
  <c r="G17" i="33"/>
  <c r="K51" i="33" s="1"/>
  <c r="V19" i="33"/>
  <c r="W18" i="33"/>
  <c r="L94" i="33" s="1"/>
  <c r="B242" i="29"/>
  <c r="B243" i="29" s="1"/>
  <c r="B67" i="29"/>
  <c r="B70" i="29"/>
  <c r="A50" i="6"/>
  <c r="O5" i="6"/>
  <c r="O6" i="6" s="1"/>
  <c r="O7" i="6" s="1"/>
  <c r="O8" i="6" s="1"/>
  <c r="O9" i="6" s="1"/>
  <c r="O10" i="6" s="1"/>
  <c r="N5" i="6"/>
  <c r="N6" i="6" s="1"/>
  <c r="N7" i="6" s="1"/>
  <c r="N8" i="6" s="1"/>
  <c r="N9" i="6" s="1"/>
  <c r="N10" i="6" s="1"/>
  <c r="M5" i="6"/>
  <c r="M6" i="6" s="1"/>
  <c r="M7" i="6" s="1"/>
  <c r="M8" i="6" s="1"/>
  <c r="M9" i="6" s="1"/>
  <c r="M10" i="6" s="1"/>
  <c r="J5" i="6"/>
  <c r="F6" i="5"/>
  <c r="F5" i="5"/>
  <c r="Q4" i="5"/>
  <c r="P4" i="5"/>
  <c r="F4" i="5"/>
  <c r="O4" i="5"/>
  <c r="M4" i="5"/>
  <c r="M5" i="5" s="1"/>
  <c r="F3" i="5"/>
  <c r="C3" i="5"/>
  <c r="H5" i="4"/>
  <c r="H6" i="4"/>
  <c r="H7" i="4"/>
  <c r="H8" i="4"/>
  <c r="H10" i="4"/>
  <c r="B10" i="4" s="1"/>
  <c r="B14" i="7" s="1"/>
  <c r="H13" i="4"/>
  <c r="G4" i="6"/>
  <c r="M4" i="4"/>
  <c r="L4" i="4"/>
  <c r="H4" i="4"/>
  <c r="BR163" i="2"/>
  <c r="BR164" i="2" s="1"/>
  <c r="BS162" i="2"/>
  <c r="E3" i="5"/>
  <c r="D3" i="5"/>
  <c r="BK24" i="2"/>
  <c r="BH24" i="2"/>
  <c r="BK22" i="2"/>
  <c r="BH22" i="2"/>
  <c r="BK21" i="2"/>
  <c r="BH21" i="2"/>
  <c r="BK19" i="2"/>
  <c r="BH19" i="2"/>
  <c r="BK17" i="2"/>
  <c r="BH17" i="2"/>
  <c r="BK16" i="2"/>
  <c r="BH16" i="2"/>
  <c r="BK15" i="2"/>
  <c r="BH15" i="2"/>
  <c r="BK14" i="2"/>
  <c r="BH14" i="2"/>
  <c r="BK13" i="2"/>
  <c r="BH13" i="2"/>
  <c r="I4" i="4"/>
  <c r="K4" i="4"/>
  <c r="E4" i="4" l="1"/>
  <c r="E4" i="6" s="1"/>
  <c r="B4" i="4"/>
  <c r="B8" i="7" s="1"/>
  <c r="M11" i="6"/>
  <c r="M12" i="6" s="1"/>
  <c r="M13" i="6" s="1"/>
  <c r="N11" i="6"/>
  <c r="N12" i="6" s="1"/>
  <c r="N13" i="6" s="1"/>
  <c r="O11" i="6"/>
  <c r="O12" i="6" s="1"/>
  <c r="O13" i="6" s="1"/>
  <c r="J6" i="6"/>
  <c r="B5" i="6"/>
  <c r="I150" i="6"/>
  <c r="D4" i="5"/>
  <c r="W19" i="33"/>
  <c r="M94" i="33" s="1"/>
  <c r="V20" i="33"/>
  <c r="F18" i="33"/>
  <c r="L48" i="33" s="1"/>
  <c r="C19" i="33"/>
  <c r="H18" i="33"/>
  <c r="L61" i="33" s="1"/>
  <c r="L52" i="33" s="1"/>
  <c r="L77" i="33" s="1"/>
  <c r="G18" i="33"/>
  <c r="L51" i="33" s="1"/>
  <c r="E18" i="33"/>
  <c r="L43" i="33" s="1"/>
  <c r="K95" i="33"/>
  <c r="AG17" i="33" s="1"/>
  <c r="AH17" i="33" s="1"/>
  <c r="P5" i="5"/>
  <c r="P6" i="5"/>
  <c r="D6" i="5" s="1"/>
  <c r="D5" i="5"/>
  <c r="Q5" i="5"/>
  <c r="E4" i="5"/>
  <c r="D4" i="4"/>
  <c r="B79" i="29"/>
  <c r="B76" i="29"/>
  <c r="B3" i="5"/>
  <c r="K3" i="5" s="1"/>
  <c r="B4" i="5"/>
  <c r="C4" i="6"/>
  <c r="L5" i="6"/>
  <c r="O5" i="5"/>
  <c r="C4" i="5"/>
  <c r="M6" i="5"/>
  <c r="B6" i="5" s="1"/>
  <c r="B5" i="5"/>
  <c r="BS164" i="2"/>
  <c r="BR165" i="2"/>
  <c r="BS163" i="2"/>
  <c r="D4" i="6" l="1"/>
  <c r="F4" i="6" s="1"/>
  <c r="O15" i="6"/>
  <c r="O17" i="6" s="1"/>
  <c r="O18" i="6" s="1"/>
  <c r="O19" i="6" s="1"/>
  <c r="O20" i="6" s="1"/>
  <c r="O21" i="6" s="1"/>
  <c r="O22" i="6" s="1"/>
  <c r="O23" i="6" s="1"/>
  <c r="O24" i="6" s="1"/>
  <c r="O25" i="6" s="1"/>
  <c r="O14" i="6"/>
  <c r="O16" i="6" s="1"/>
  <c r="N14" i="6"/>
  <c r="N16" i="6" s="1"/>
  <c r="N15" i="6"/>
  <c r="N17" i="6" s="1"/>
  <c r="N18" i="6" s="1"/>
  <c r="N19" i="6" s="1"/>
  <c r="N20" i="6" s="1"/>
  <c r="N21" i="6" s="1"/>
  <c r="N22" i="6" s="1"/>
  <c r="N23" i="6" s="1"/>
  <c r="N24" i="6" s="1"/>
  <c r="N25" i="6" s="1"/>
  <c r="N27" i="6" s="1"/>
  <c r="N28" i="6" s="1"/>
  <c r="M14" i="6"/>
  <c r="M16" i="6" s="1"/>
  <c r="M15" i="6"/>
  <c r="M17" i="6" s="1"/>
  <c r="M18" i="6" s="1"/>
  <c r="M19" i="6" s="1"/>
  <c r="M20" i="6" s="1"/>
  <c r="M21" i="6" s="1"/>
  <c r="M22" i="6" s="1"/>
  <c r="M23" i="6" s="1"/>
  <c r="M24" i="6" s="1"/>
  <c r="M25" i="6" s="1"/>
  <c r="J7" i="6"/>
  <c r="B6" i="6"/>
  <c r="O27" i="6"/>
  <c r="O28" i="6" s="1"/>
  <c r="O26" i="6"/>
  <c r="N26" i="6"/>
  <c r="M27" i="6"/>
  <c r="M28" i="6" s="1"/>
  <c r="M26" i="6"/>
  <c r="L95" i="33"/>
  <c r="AG18" i="33" s="1"/>
  <c r="AH18" i="33" s="1"/>
  <c r="W20" i="33"/>
  <c r="N94" i="33" s="1"/>
  <c r="V21" i="33"/>
  <c r="F19" i="33"/>
  <c r="M48" i="33" s="1"/>
  <c r="H19" i="33"/>
  <c r="M61" i="33" s="1"/>
  <c r="M52" i="33" s="1"/>
  <c r="M77" i="33" s="1"/>
  <c r="G19" i="33"/>
  <c r="M51" i="33" s="1"/>
  <c r="E19" i="33"/>
  <c r="M43" i="33" s="1"/>
  <c r="C20" i="33"/>
  <c r="Q6" i="5"/>
  <c r="E6" i="5" s="1"/>
  <c r="E5" i="5"/>
  <c r="B86" i="29"/>
  <c r="K4" i="5"/>
  <c r="C5" i="6"/>
  <c r="L6" i="6"/>
  <c r="O6" i="5"/>
  <c r="C6" i="5" s="1"/>
  <c r="C5" i="5"/>
  <c r="BS165" i="2"/>
  <c r="BR166" i="2"/>
  <c r="B7" i="6" l="1"/>
  <c r="J8" i="6"/>
  <c r="M29" i="6"/>
  <c r="M30" i="6" s="1"/>
  <c r="M31" i="6" s="1"/>
  <c r="M32" i="6" s="1"/>
  <c r="M33" i="6" s="1"/>
  <c r="M34" i="6" s="1"/>
  <c r="M35" i="6" s="1"/>
  <c r="M36" i="6" s="1"/>
  <c r="M37" i="6" s="1"/>
  <c r="M38" i="6" s="1"/>
  <c r="M39" i="6" s="1"/>
  <c r="M40" i="6" s="1"/>
  <c r="M41" i="6" s="1"/>
  <c r="M52" i="6" s="1"/>
  <c r="M53" i="6" s="1"/>
  <c r="M54" i="6" s="1"/>
  <c r="M55" i="6" s="1"/>
  <c r="M56" i="6" s="1"/>
  <c r="M57" i="6" s="1"/>
  <c r="M58" i="6" s="1"/>
  <c r="M59" i="6" s="1"/>
  <c r="M60" i="6" s="1"/>
  <c r="M61" i="6" s="1"/>
  <c r="M62" i="6" s="1"/>
  <c r="M63" i="6" s="1"/>
  <c r="M64" i="6" s="1"/>
  <c r="M65" i="6" s="1"/>
  <c r="M72" i="6" s="1"/>
  <c r="M73" i="6" s="1"/>
  <c r="M74" i="6" s="1"/>
  <c r="M75" i="6" s="1"/>
  <c r="M76" i="6" s="1"/>
  <c r="M77" i="6" s="1"/>
  <c r="M78" i="6" s="1"/>
  <c r="M79" i="6" s="1"/>
  <c r="M80" i="6" s="1"/>
  <c r="M81" i="6" s="1"/>
  <c r="M82" i="6" s="1"/>
  <c r="M83" i="6" s="1"/>
  <c r="M84" i="6" s="1"/>
  <c r="M85" i="6" s="1"/>
  <c r="M86" i="6" s="1"/>
  <c r="M87" i="6" s="1"/>
  <c r="M101" i="6" s="1"/>
  <c r="M102" i="6" s="1"/>
  <c r="M103" i="6" s="1"/>
  <c r="M104" i="6" s="1"/>
  <c r="M105" i="6" s="1"/>
  <c r="M107" i="6" s="1"/>
  <c r="O29" i="6"/>
  <c r="O30" i="6" s="1"/>
  <c r="O31" i="6" s="1"/>
  <c r="O32" i="6" s="1"/>
  <c r="O33" i="6" s="1"/>
  <c r="O34" i="6" s="1"/>
  <c r="O35" i="6" s="1"/>
  <c r="O36" i="6" s="1"/>
  <c r="O37" i="6" s="1"/>
  <c r="O38" i="6" s="1"/>
  <c r="O39" i="6" s="1"/>
  <c r="O40" i="6" s="1"/>
  <c r="O41" i="6" s="1"/>
  <c r="O52" i="6" s="1"/>
  <c r="O53" i="6" s="1"/>
  <c r="O54" i="6" s="1"/>
  <c r="O55" i="6" s="1"/>
  <c r="O56" i="6" s="1"/>
  <c r="O57" i="6" s="1"/>
  <c r="O58" i="6" s="1"/>
  <c r="O59" i="6" s="1"/>
  <c r="O60" i="6" s="1"/>
  <c r="O61" i="6" s="1"/>
  <c r="O62" i="6" s="1"/>
  <c r="O63" i="6" s="1"/>
  <c r="O64" i="6" s="1"/>
  <c r="O65" i="6" s="1"/>
  <c r="O72" i="6" s="1"/>
  <c r="O73" i="6" s="1"/>
  <c r="O74" i="6" s="1"/>
  <c r="O75" i="6" s="1"/>
  <c r="O76" i="6" s="1"/>
  <c r="O77" i="6" s="1"/>
  <c r="O78" i="6" s="1"/>
  <c r="O79" i="6" s="1"/>
  <c r="O80" i="6" s="1"/>
  <c r="O81" i="6" s="1"/>
  <c r="O82" i="6" s="1"/>
  <c r="O83" i="6" s="1"/>
  <c r="O84" i="6" s="1"/>
  <c r="O85" i="6" s="1"/>
  <c r="O86" i="6" s="1"/>
  <c r="O87" i="6" s="1"/>
  <c r="N29" i="6"/>
  <c r="N30" i="6" s="1"/>
  <c r="N31" i="6" s="1"/>
  <c r="N32" i="6" s="1"/>
  <c r="N33" i="6" s="1"/>
  <c r="N34" i="6" s="1"/>
  <c r="N35" i="6" s="1"/>
  <c r="N36" i="6" s="1"/>
  <c r="N37" i="6" s="1"/>
  <c r="N38" i="6" s="1"/>
  <c r="N39" i="6" s="1"/>
  <c r="N40" i="6" s="1"/>
  <c r="N41" i="6" s="1"/>
  <c r="N52" i="6" s="1"/>
  <c r="N53" i="6" s="1"/>
  <c r="N54" i="6" s="1"/>
  <c r="N55" i="6" s="1"/>
  <c r="N56" i="6" s="1"/>
  <c r="N57" i="6" s="1"/>
  <c r="N58" i="6" s="1"/>
  <c r="N59" i="6" s="1"/>
  <c r="N60" i="6" s="1"/>
  <c r="N61" i="6" s="1"/>
  <c r="N62" i="6" s="1"/>
  <c r="N63" i="6" s="1"/>
  <c r="N64" i="6" s="1"/>
  <c r="N65" i="6" s="1"/>
  <c r="N72" i="6" s="1"/>
  <c r="N73" i="6" s="1"/>
  <c r="N74" i="6" s="1"/>
  <c r="N75" i="6" s="1"/>
  <c r="N76" i="6" s="1"/>
  <c r="N77" i="6" s="1"/>
  <c r="N78" i="6" s="1"/>
  <c r="N79" i="6" s="1"/>
  <c r="N80" i="6" s="1"/>
  <c r="N81" i="6" s="1"/>
  <c r="N82" i="6" s="1"/>
  <c r="N83" i="6" s="1"/>
  <c r="N84" i="6" s="1"/>
  <c r="N85" i="6" s="1"/>
  <c r="N86" i="6" s="1"/>
  <c r="N87" i="6" s="1"/>
  <c r="N88" i="6" s="1"/>
  <c r="K6" i="5"/>
  <c r="C21" i="33"/>
  <c r="G20" i="33"/>
  <c r="N51" i="33" s="1"/>
  <c r="H20" i="33"/>
  <c r="N61" i="33" s="1"/>
  <c r="N52" i="33" s="1"/>
  <c r="N77" i="33" s="1"/>
  <c r="F20" i="33"/>
  <c r="N48" i="33" s="1"/>
  <c r="E20" i="33"/>
  <c r="N43" i="33" s="1"/>
  <c r="M95" i="33"/>
  <c r="AG19" i="33" s="1"/>
  <c r="AH19" i="33" s="1"/>
  <c r="V22" i="33"/>
  <c r="W21" i="33"/>
  <c r="O94" i="33" s="1"/>
  <c r="K5" i="5"/>
  <c r="B218" i="29"/>
  <c r="C6" i="6"/>
  <c r="L7" i="6"/>
  <c r="BR167" i="2"/>
  <c r="BS166" i="2"/>
  <c r="J9" i="6" l="1"/>
  <c r="B8" i="6"/>
  <c r="M106" i="6"/>
  <c r="M109" i="6" s="1"/>
  <c r="M110" i="6"/>
  <c r="N101" i="6"/>
  <c r="N102" i="6" s="1"/>
  <c r="N103" i="6" s="1"/>
  <c r="N104" i="6" s="1"/>
  <c r="N105" i="6" s="1"/>
  <c r="N107" i="6" s="1"/>
  <c r="O101" i="6"/>
  <c r="O102" i="6" s="1"/>
  <c r="O103" i="6" s="1"/>
  <c r="O104" i="6" s="1"/>
  <c r="O105" i="6" s="1"/>
  <c r="O107" i="6" s="1"/>
  <c r="O89" i="6"/>
  <c r="O88" i="6"/>
  <c r="M88" i="6"/>
  <c r="N89" i="6"/>
  <c r="M89" i="6"/>
  <c r="W22" i="33"/>
  <c r="P94" i="33" s="1"/>
  <c r="V23" i="33"/>
  <c r="N95" i="33"/>
  <c r="AG20" i="33" s="1"/>
  <c r="AH20" i="33" s="1"/>
  <c r="H21" i="33"/>
  <c r="O61" i="33" s="1"/>
  <c r="O52" i="33" s="1"/>
  <c r="O77" i="33" s="1"/>
  <c r="G21" i="33"/>
  <c r="O51" i="33" s="1"/>
  <c r="F21" i="33"/>
  <c r="O48" i="33" s="1"/>
  <c r="E21" i="33"/>
  <c r="O43" i="33" s="1"/>
  <c r="C22" i="33"/>
  <c r="C7" i="6"/>
  <c r="L8" i="6"/>
  <c r="BR168" i="2"/>
  <c r="BS167" i="2"/>
  <c r="B9" i="6" l="1"/>
  <c r="J10" i="6"/>
  <c r="J11" i="6" s="1"/>
  <c r="M108" i="6"/>
  <c r="M111" i="6" s="1"/>
  <c r="M112" i="6" s="1"/>
  <c r="M113" i="6" s="1"/>
  <c r="M114" i="6" s="1"/>
  <c r="M115" i="6" s="1"/>
  <c r="M116" i="6" s="1"/>
  <c r="M117" i="6" s="1"/>
  <c r="M118" i="6" s="1"/>
  <c r="M119" i="6" s="1"/>
  <c r="M120" i="6" s="1"/>
  <c r="M121" i="6" s="1"/>
  <c r="M122" i="6" s="1"/>
  <c r="M138" i="6" s="1"/>
  <c r="M139" i="6" s="1"/>
  <c r="M140" i="6" s="1"/>
  <c r="M141" i="6" s="1"/>
  <c r="M142" i="6" s="1"/>
  <c r="M143" i="6" s="1"/>
  <c r="M144" i="6" s="1"/>
  <c r="M145" i="6" s="1"/>
  <c r="M146" i="6" s="1"/>
  <c r="M147" i="6" s="1"/>
  <c r="M148" i="6" s="1"/>
  <c r="M149" i="6" s="1"/>
  <c r="M150" i="6" s="1"/>
  <c r="M151" i="6" s="1"/>
  <c r="M152" i="6" s="1"/>
  <c r="M153" i="6" s="1"/>
  <c r="M157" i="6" s="1"/>
  <c r="M158" i="6" s="1"/>
  <c r="M159" i="6" s="1"/>
  <c r="M160" i="6" s="1"/>
  <c r="M161" i="6" s="1"/>
  <c r="M162" i="6" s="1"/>
  <c r="M163" i="6" s="1"/>
  <c r="M164" i="6" s="1"/>
  <c r="O106" i="6"/>
  <c r="O109" i="6" s="1"/>
  <c r="O110" i="6"/>
  <c r="N106" i="6"/>
  <c r="N110" i="6"/>
  <c r="O108" i="6"/>
  <c r="O111" i="6" s="1"/>
  <c r="O95" i="33"/>
  <c r="AG21" i="33" s="1"/>
  <c r="AH21" i="33" s="1"/>
  <c r="V24" i="33"/>
  <c r="W23" i="33"/>
  <c r="Q94" i="33" s="1"/>
  <c r="C23" i="33"/>
  <c r="H22" i="33"/>
  <c r="P61" i="33" s="1"/>
  <c r="P52" i="33" s="1"/>
  <c r="P77" i="33" s="1"/>
  <c r="G22" i="33"/>
  <c r="P51" i="33" s="1"/>
  <c r="F22" i="33"/>
  <c r="P48" i="33" s="1"/>
  <c r="E22" i="33"/>
  <c r="P43" i="33" s="1"/>
  <c r="C8" i="6"/>
  <c r="L9" i="6"/>
  <c r="BS168" i="2"/>
  <c r="BR169" i="2"/>
  <c r="J12" i="6" l="1"/>
  <c r="B12" i="6" s="1"/>
  <c r="B11" i="6"/>
  <c r="B10" i="6"/>
  <c r="O112" i="6"/>
  <c r="O113" i="6" s="1"/>
  <c r="O114" i="6" s="1"/>
  <c r="O115" i="6" s="1"/>
  <c r="O116" i="6" s="1"/>
  <c r="O117" i="6" s="1"/>
  <c r="O118" i="6" s="1"/>
  <c r="O119" i="6" s="1"/>
  <c r="O120" i="6" s="1"/>
  <c r="O121" i="6" s="1"/>
  <c r="O122" i="6" s="1"/>
  <c r="O138" i="6" s="1"/>
  <c r="O139" i="6" s="1"/>
  <c r="O140" i="6" s="1"/>
  <c r="O141" i="6" s="1"/>
  <c r="O142" i="6" s="1"/>
  <c r="O143" i="6" s="1"/>
  <c r="O144" i="6" s="1"/>
  <c r="O145" i="6" s="1"/>
  <c r="O146" i="6" s="1"/>
  <c r="O147" i="6" s="1"/>
  <c r="O148" i="6" s="1"/>
  <c r="O149" i="6" s="1"/>
  <c r="O150" i="6" s="1"/>
  <c r="O151" i="6" s="1"/>
  <c r="O152" i="6" s="1"/>
  <c r="O153" i="6" s="1"/>
  <c r="O157" i="6" s="1"/>
  <c r="O158" i="6" s="1"/>
  <c r="O159" i="6" s="1"/>
  <c r="O160" i="6" s="1"/>
  <c r="O161" i="6" s="1"/>
  <c r="O162" i="6" s="1"/>
  <c r="O163" i="6" s="1"/>
  <c r="O164" i="6" s="1"/>
  <c r="N108" i="6"/>
  <c r="N111" i="6" s="1"/>
  <c r="N109" i="6"/>
  <c r="P95" i="33"/>
  <c r="AG22" i="33" s="1"/>
  <c r="AH22" i="33" s="1"/>
  <c r="H23" i="33"/>
  <c r="Q61" i="33" s="1"/>
  <c r="Q52" i="33" s="1"/>
  <c r="Q77" i="33" s="1"/>
  <c r="G23" i="33"/>
  <c r="Q51" i="33" s="1"/>
  <c r="F23" i="33"/>
  <c r="Q48" i="33" s="1"/>
  <c r="C24" i="33"/>
  <c r="E23" i="33"/>
  <c r="Q43" i="33" s="1"/>
  <c r="V25" i="33"/>
  <c r="W24" i="33"/>
  <c r="R94" i="33" s="1"/>
  <c r="C9" i="6"/>
  <c r="L10" i="6"/>
  <c r="L11" i="6" s="1"/>
  <c r="BS169" i="2"/>
  <c r="BR170" i="2"/>
  <c r="L12" i="6" l="1"/>
  <c r="C12" i="6" s="1"/>
  <c r="C11" i="6"/>
  <c r="J13" i="6"/>
  <c r="N112" i="6"/>
  <c r="N113" i="6" s="1"/>
  <c r="N114" i="6" s="1"/>
  <c r="N115" i="6" s="1"/>
  <c r="N116" i="6" s="1"/>
  <c r="N117" i="6" s="1"/>
  <c r="N118" i="6" s="1"/>
  <c r="N119" i="6" s="1"/>
  <c r="N120" i="6" s="1"/>
  <c r="N121" i="6" s="1"/>
  <c r="N122" i="6" s="1"/>
  <c r="N138" i="6" s="1"/>
  <c r="N139" i="6" s="1"/>
  <c r="N140" i="6" s="1"/>
  <c r="N141" i="6" s="1"/>
  <c r="N142" i="6" s="1"/>
  <c r="N143" i="6" s="1"/>
  <c r="N144" i="6" s="1"/>
  <c r="N145" i="6" s="1"/>
  <c r="N146" i="6" s="1"/>
  <c r="N147" i="6" s="1"/>
  <c r="N148" i="6" s="1"/>
  <c r="N149" i="6" s="1"/>
  <c r="N150" i="6" s="1"/>
  <c r="N151" i="6" s="1"/>
  <c r="N152" i="6" s="1"/>
  <c r="N153" i="6" s="1"/>
  <c r="N157" i="6" s="1"/>
  <c r="N158" i="6" s="1"/>
  <c r="N159" i="6" s="1"/>
  <c r="N160" i="6" s="1"/>
  <c r="N161" i="6" s="1"/>
  <c r="N162" i="6" s="1"/>
  <c r="N163" i="6" s="1"/>
  <c r="N164" i="6" s="1"/>
  <c r="E24" i="33"/>
  <c r="R43" i="33" s="1"/>
  <c r="G24" i="33"/>
  <c r="R51" i="33" s="1"/>
  <c r="F24" i="33"/>
  <c r="R48" i="33" s="1"/>
  <c r="C25" i="33"/>
  <c r="H24" i="33"/>
  <c r="R61" i="33" s="1"/>
  <c r="R52" i="33" s="1"/>
  <c r="R77" i="33" s="1"/>
  <c r="W25" i="33"/>
  <c r="S94" i="33" s="1"/>
  <c r="V26" i="33"/>
  <c r="Q95" i="33"/>
  <c r="AG23" i="33" s="1"/>
  <c r="AH23" i="33" s="1"/>
  <c r="C10" i="6"/>
  <c r="BR171" i="2"/>
  <c r="BS170" i="2"/>
  <c r="J14" i="6" l="1"/>
  <c r="B13" i="6"/>
  <c r="J15" i="6"/>
  <c r="W26" i="33"/>
  <c r="T94" i="33" s="1"/>
  <c r="V27" i="33"/>
  <c r="F25" i="33"/>
  <c r="S48" i="33" s="1"/>
  <c r="G25" i="33"/>
  <c r="S51" i="33" s="1"/>
  <c r="E25" i="33"/>
  <c r="S43" i="33" s="1"/>
  <c r="C26" i="33"/>
  <c r="H25" i="33"/>
  <c r="S61" i="33" s="1"/>
  <c r="S52" i="33" s="1"/>
  <c r="S77" i="33" s="1"/>
  <c r="R95" i="33"/>
  <c r="AG24" i="33" s="1"/>
  <c r="AH24" i="33" s="1"/>
  <c r="L13" i="6"/>
  <c r="L14" i="6" s="1"/>
  <c r="BR172" i="2"/>
  <c r="BS171" i="2"/>
  <c r="B15" i="6" l="1"/>
  <c r="J17" i="6"/>
  <c r="B14" i="6"/>
  <c r="J16" i="6"/>
  <c r="B16" i="6" s="1"/>
  <c r="C14" i="6"/>
  <c r="L16" i="6"/>
  <c r="C16" i="6" s="1"/>
  <c r="C27" i="33"/>
  <c r="G26" i="33"/>
  <c r="T51" i="33" s="1"/>
  <c r="F26" i="33"/>
  <c r="T48" i="33" s="1"/>
  <c r="E26" i="33"/>
  <c r="T43" i="33" s="1"/>
  <c r="H26" i="33"/>
  <c r="T61" i="33" s="1"/>
  <c r="T52" i="33" s="1"/>
  <c r="T77" i="33" s="1"/>
  <c r="V28" i="33"/>
  <c r="W27" i="33"/>
  <c r="U94" i="33" s="1"/>
  <c r="S95" i="33"/>
  <c r="AG25" i="33" s="1"/>
  <c r="AH25" i="33" s="1"/>
  <c r="C13" i="6"/>
  <c r="L15" i="6"/>
  <c r="BS172" i="2"/>
  <c r="BR173" i="2"/>
  <c r="B17" i="6" l="1"/>
  <c r="J18" i="6"/>
  <c r="T95" i="33"/>
  <c r="AG26" i="33" s="1"/>
  <c r="AH26" i="33" s="1"/>
  <c r="V29" i="33"/>
  <c r="W28" i="33"/>
  <c r="V94" i="33" s="1"/>
  <c r="H27" i="33"/>
  <c r="U61" i="33" s="1"/>
  <c r="U52" i="33" s="1"/>
  <c r="U77" i="33" s="1"/>
  <c r="G27" i="33"/>
  <c r="U51" i="33" s="1"/>
  <c r="F27" i="33"/>
  <c r="U48" i="33" s="1"/>
  <c r="C28" i="33"/>
  <c r="E27" i="33"/>
  <c r="U43" i="33" s="1"/>
  <c r="C15" i="6"/>
  <c r="L17" i="6"/>
  <c r="BS173" i="2"/>
  <c r="BR174" i="2"/>
  <c r="B18" i="6" l="1"/>
  <c r="J19" i="6"/>
  <c r="U95" i="33"/>
  <c r="AG27" i="33" s="1"/>
  <c r="AH27" i="33" s="1"/>
  <c r="E28" i="33"/>
  <c r="V43" i="33" s="1"/>
  <c r="G28" i="33"/>
  <c r="V51" i="33" s="1"/>
  <c r="F28" i="33"/>
  <c r="V48" i="33" s="1"/>
  <c r="C29" i="33"/>
  <c r="H28" i="33"/>
  <c r="V61" i="33" s="1"/>
  <c r="V52" i="33" s="1"/>
  <c r="V77" i="33" s="1"/>
  <c r="W29" i="33"/>
  <c r="W94" i="33" s="1"/>
  <c r="V30" i="33"/>
  <c r="C17" i="6"/>
  <c r="L18" i="6"/>
  <c r="BR175" i="2"/>
  <c r="BS174" i="2"/>
  <c r="B19" i="6" l="1"/>
  <c r="J20" i="6"/>
  <c r="V95" i="33"/>
  <c r="AG28" i="33" s="1"/>
  <c r="AH28" i="33" s="1"/>
  <c r="W30" i="33"/>
  <c r="X94" i="33" s="1"/>
  <c r="V31" i="33"/>
  <c r="F29" i="33"/>
  <c r="W48" i="33" s="1"/>
  <c r="G29" i="33"/>
  <c r="W51" i="33" s="1"/>
  <c r="E29" i="33"/>
  <c r="W43" i="33" s="1"/>
  <c r="C30" i="33"/>
  <c r="H29" i="33"/>
  <c r="W61" i="33" s="1"/>
  <c r="W52" i="33" s="1"/>
  <c r="W77" i="33" s="1"/>
  <c r="C18" i="6"/>
  <c r="L19" i="6"/>
  <c r="BR176" i="2"/>
  <c r="BS176" i="2" s="1"/>
  <c r="BS175" i="2"/>
  <c r="B20" i="6" l="1"/>
  <c r="J21" i="6"/>
  <c r="W95" i="33"/>
  <c r="AG29" i="33" s="1"/>
  <c r="AH29" i="33" s="1"/>
  <c r="C31" i="33"/>
  <c r="G30" i="33"/>
  <c r="X51" i="33" s="1"/>
  <c r="F30" i="33"/>
  <c r="X48" i="33" s="1"/>
  <c r="E30" i="33"/>
  <c r="X43" i="33" s="1"/>
  <c r="H30" i="33"/>
  <c r="X61" i="33" s="1"/>
  <c r="X52" i="33" s="1"/>
  <c r="X77" i="33" s="1"/>
  <c r="V32" i="33"/>
  <c r="W31" i="33"/>
  <c r="Y94" i="33" s="1"/>
  <c r="C19" i="6"/>
  <c r="L20" i="6"/>
  <c r="B21" i="6" l="1"/>
  <c r="J22" i="6"/>
  <c r="H31" i="33"/>
  <c r="Y61" i="33" s="1"/>
  <c r="Y52" i="33" s="1"/>
  <c r="Y77" i="33" s="1"/>
  <c r="G31" i="33"/>
  <c r="Y51" i="33" s="1"/>
  <c r="F31" i="33"/>
  <c r="Y48" i="33" s="1"/>
  <c r="C32" i="33"/>
  <c r="E31" i="33"/>
  <c r="Y43" i="33" s="1"/>
  <c r="X95" i="33"/>
  <c r="AG30" i="33" s="1"/>
  <c r="AH30" i="33" s="1"/>
  <c r="V33" i="33"/>
  <c r="W32" i="33"/>
  <c r="Z94" i="33" s="1"/>
  <c r="C20" i="6"/>
  <c r="L21" i="6"/>
  <c r="J23" i="6" l="1"/>
  <c r="B22" i="6"/>
  <c r="H32" i="33"/>
  <c r="Z61" i="33" s="1"/>
  <c r="Z52" i="33" s="1"/>
  <c r="Z77" i="33" s="1"/>
  <c r="C33" i="33"/>
  <c r="E32" i="33"/>
  <c r="Z43" i="33" s="1"/>
  <c r="G32" i="33"/>
  <c r="Z51" i="33" s="1"/>
  <c r="F32" i="33"/>
  <c r="Z48" i="33" s="1"/>
  <c r="V34" i="33"/>
  <c r="W33" i="33"/>
  <c r="AA94" i="33" s="1"/>
  <c r="Y95" i="33"/>
  <c r="AG31" i="33" s="1"/>
  <c r="AH31" i="33" s="1"/>
  <c r="C21" i="6"/>
  <c r="L22" i="6"/>
  <c r="L23" i="6" s="1"/>
  <c r="B23" i="6" l="1"/>
  <c r="J24" i="6"/>
  <c r="C23" i="6"/>
  <c r="L24" i="6"/>
  <c r="V35" i="33"/>
  <c r="W34" i="33"/>
  <c r="AB94" i="33" s="1"/>
  <c r="Z95" i="33"/>
  <c r="AG32" i="33" s="1"/>
  <c r="AH32" i="33" s="1"/>
  <c r="E33" i="33"/>
  <c r="AA43" i="33" s="1"/>
  <c r="C34" i="33"/>
  <c r="H33" i="33"/>
  <c r="AA61" i="33" s="1"/>
  <c r="AA52" i="33" s="1"/>
  <c r="AA77" i="33" s="1"/>
  <c r="G33" i="33"/>
  <c r="AA51" i="33" s="1"/>
  <c r="F33" i="33"/>
  <c r="AA48" i="33" s="1"/>
  <c r="C22" i="6"/>
  <c r="B24" i="6" l="1"/>
  <c r="J25" i="6"/>
  <c r="E34" i="33"/>
  <c r="AB43" i="33" s="1"/>
  <c r="H34" i="33"/>
  <c r="AB61" i="33" s="1"/>
  <c r="AB52" i="33" s="1"/>
  <c r="AB77" i="33" s="1"/>
  <c r="G34" i="33"/>
  <c r="AB51" i="33" s="1"/>
  <c r="F34" i="33"/>
  <c r="AB48" i="33" s="1"/>
  <c r="C35" i="33"/>
  <c r="V36" i="33"/>
  <c r="W35" i="33"/>
  <c r="AC94" i="33" s="1"/>
  <c r="AA95" i="33"/>
  <c r="AG33" i="33" s="1"/>
  <c r="AH33" i="33" s="1"/>
  <c r="C24" i="6"/>
  <c r="L25" i="6"/>
  <c r="L26" i="6" s="1"/>
  <c r="C26" i="6" s="1"/>
  <c r="J26" i="6" l="1"/>
  <c r="B25" i="6"/>
  <c r="J27" i="6"/>
  <c r="W36" i="33"/>
  <c r="AD94" i="33" s="1"/>
  <c r="F35" i="33"/>
  <c r="AC48" i="33" s="1"/>
  <c r="H35" i="33"/>
  <c r="AC61" i="33" s="1"/>
  <c r="AC52" i="33" s="1"/>
  <c r="AC77" i="33" s="1"/>
  <c r="G35" i="33"/>
  <c r="AC51" i="33" s="1"/>
  <c r="E35" i="33"/>
  <c r="AC43" i="33" s="1"/>
  <c r="C36" i="33"/>
  <c r="AB95" i="33"/>
  <c r="AG34" i="33" s="1"/>
  <c r="AH34" i="33" s="1"/>
  <c r="C25" i="6"/>
  <c r="L27" i="6"/>
  <c r="B27" i="6" l="1"/>
  <c r="J28" i="6"/>
  <c r="B26" i="6"/>
  <c r="F36" i="33"/>
  <c r="AD48" i="33" s="1"/>
  <c r="E36" i="33"/>
  <c r="AD43" i="33" s="1"/>
  <c r="H36" i="33"/>
  <c r="AD61" i="33" s="1"/>
  <c r="AD52" i="33" s="1"/>
  <c r="AD77" i="33" s="1"/>
  <c r="AC95" i="33"/>
  <c r="AG35" i="33" s="1"/>
  <c r="AH35" i="33" s="1"/>
  <c r="C27" i="6"/>
  <c r="L28" i="6"/>
  <c r="L29" i="6" s="1"/>
  <c r="J29" i="6" l="1"/>
  <c r="B28" i="6"/>
  <c r="C29" i="6"/>
  <c r="L30" i="6"/>
  <c r="AD95" i="33"/>
  <c r="AG36" i="33" s="1"/>
  <c r="AH36" i="33" s="1"/>
  <c r="B15" i="8" s="1"/>
  <c r="A16" i="8" s="1"/>
  <c r="C28" i="6"/>
  <c r="B29" i="6" l="1"/>
  <c r="J30" i="6"/>
  <c r="L31" i="6"/>
  <c r="C30" i="6"/>
  <c r="B30" i="6" l="1"/>
  <c r="J31" i="6"/>
  <c r="L32" i="6"/>
  <c r="C31" i="6"/>
  <c r="B31" i="6" l="1"/>
  <c r="J32" i="6"/>
  <c r="C32" i="6"/>
  <c r="L33" i="6"/>
  <c r="B32" i="6" l="1"/>
  <c r="J33" i="6"/>
  <c r="C33" i="6"/>
  <c r="L34" i="6"/>
  <c r="B33" i="6" l="1"/>
  <c r="J34" i="6"/>
  <c r="C34" i="6"/>
  <c r="L35" i="6"/>
  <c r="B34" i="6" l="1"/>
  <c r="J35" i="6"/>
  <c r="C35" i="6"/>
  <c r="L36" i="6"/>
  <c r="B35" i="6" l="1"/>
  <c r="J36" i="6"/>
  <c r="L37" i="6"/>
  <c r="C36" i="6"/>
  <c r="B36" i="6" l="1"/>
  <c r="J37" i="6"/>
  <c r="L38" i="6"/>
  <c r="C37" i="6"/>
  <c r="B37" i="6" l="1"/>
  <c r="J38" i="6"/>
  <c r="C38" i="6"/>
  <c r="L39" i="6"/>
  <c r="B38" i="6" l="1"/>
  <c r="J39" i="6"/>
  <c r="C39" i="6"/>
  <c r="L40" i="6"/>
  <c r="B39" i="6" l="1"/>
  <c r="J40" i="6"/>
  <c r="C40" i="6"/>
  <c r="L41" i="6"/>
  <c r="B40" i="6" l="1"/>
  <c r="J41" i="6"/>
  <c r="L52" i="6"/>
  <c r="C41" i="6"/>
  <c r="B41" i="6" l="1"/>
  <c r="J52" i="6"/>
  <c r="C52" i="6"/>
  <c r="L53" i="6"/>
  <c r="B52" i="6" l="1"/>
  <c r="J53" i="6"/>
  <c r="L54" i="6"/>
  <c r="C53" i="6"/>
  <c r="B53" i="6" l="1"/>
  <c r="J54" i="6"/>
  <c r="L55" i="6"/>
  <c r="C54" i="6"/>
  <c r="B54" i="6" l="1"/>
  <c r="J55" i="6"/>
  <c r="C55" i="6"/>
  <c r="L56" i="6"/>
  <c r="B55" i="6" l="1"/>
  <c r="J56" i="6"/>
  <c r="C56" i="6"/>
  <c r="L57" i="6"/>
  <c r="B56" i="6" l="1"/>
  <c r="J57" i="6"/>
  <c r="L58" i="6"/>
  <c r="C57" i="6"/>
  <c r="B57" i="6" l="1"/>
  <c r="J58" i="6"/>
  <c r="C58" i="6"/>
  <c r="L59" i="6"/>
  <c r="B58" i="6" l="1"/>
  <c r="J59" i="6"/>
  <c r="C59" i="6"/>
  <c r="L60" i="6"/>
  <c r="B59" i="6" l="1"/>
  <c r="J60" i="6"/>
  <c r="C60" i="6"/>
  <c r="L61" i="6"/>
  <c r="B60" i="6" l="1"/>
  <c r="J61" i="6"/>
  <c r="L62" i="6"/>
  <c r="C61" i="6"/>
  <c r="B61" i="6" l="1"/>
  <c r="J62" i="6"/>
  <c r="C62" i="6"/>
  <c r="L63" i="6"/>
  <c r="B62" i="6" l="1"/>
  <c r="J63" i="6"/>
  <c r="L64" i="6"/>
  <c r="C63" i="6"/>
  <c r="B63" i="6" l="1"/>
  <c r="J64" i="6"/>
  <c r="L65" i="6"/>
  <c r="L66" i="6" s="1"/>
  <c r="C64" i="6"/>
  <c r="L67" i="6" l="1"/>
  <c r="C66" i="6"/>
  <c r="B64" i="6"/>
  <c r="J65" i="6"/>
  <c r="J66" i="6" s="1"/>
  <c r="C65" i="6"/>
  <c r="J67" i="6" l="1"/>
  <c r="B66" i="6"/>
  <c r="L68" i="6"/>
  <c r="C67" i="6"/>
  <c r="B65" i="6"/>
  <c r="J68" i="6" l="1"/>
  <c r="B67" i="6"/>
  <c r="L69" i="6"/>
  <c r="C68" i="6"/>
  <c r="J69" i="6" l="1"/>
  <c r="B68" i="6"/>
  <c r="L70" i="6"/>
  <c r="C69" i="6"/>
  <c r="J70" i="6" l="1"/>
  <c r="B69" i="6"/>
  <c r="L71" i="6"/>
  <c r="C70" i="6"/>
  <c r="J71" i="6" l="1"/>
  <c r="B70" i="6"/>
  <c r="C71" i="6"/>
  <c r="L72" i="6"/>
  <c r="B71" i="6" l="1"/>
  <c r="J72" i="6"/>
  <c r="L73" i="6"/>
  <c r="C72" i="6"/>
  <c r="J73" i="6" l="1"/>
  <c r="B72" i="6"/>
  <c r="C73" i="6"/>
  <c r="L74" i="6"/>
  <c r="J74" i="6" l="1"/>
  <c r="B73" i="6"/>
  <c r="L75" i="6"/>
  <c r="C74" i="6"/>
  <c r="B74" i="6" l="1"/>
  <c r="J75" i="6"/>
  <c r="L76" i="6"/>
  <c r="C75" i="6"/>
  <c r="B75" i="6" l="1"/>
  <c r="J76" i="6"/>
  <c r="C76" i="6"/>
  <c r="L77" i="6"/>
  <c r="B76" i="6" l="1"/>
  <c r="J77" i="6"/>
  <c r="C77" i="6"/>
  <c r="L78" i="6"/>
  <c r="B77" i="6" l="1"/>
  <c r="J78" i="6"/>
  <c r="C78" i="6"/>
  <c r="L79" i="6"/>
  <c r="B78" i="6" l="1"/>
  <c r="J79" i="6"/>
  <c r="C79" i="6"/>
  <c r="L80" i="6"/>
  <c r="J80" i="6" l="1"/>
  <c r="B79" i="6"/>
  <c r="C80" i="6"/>
  <c r="L81" i="6"/>
  <c r="B80" i="6" l="1"/>
  <c r="J81" i="6"/>
  <c r="C81" i="6"/>
  <c r="L82" i="6"/>
  <c r="B81" i="6" l="1"/>
  <c r="J82" i="6"/>
  <c r="L83" i="6"/>
  <c r="C82" i="6"/>
  <c r="B82" i="6" l="1"/>
  <c r="J83" i="6"/>
  <c r="L84" i="6"/>
  <c r="C83" i="6"/>
  <c r="B83" i="6" l="1"/>
  <c r="J84" i="6"/>
  <c r="C84" i="6"/>
  <c r="L85" i="6"/>
  <c r="B84" i="6" l="1"/>
  <c r="J85" i="6"/>
  <c r="L86" i="6"/>
  <c r="C85" i="6"/>
  <c r="B85" i="6" l="1"/>
  <c r="J86" i="6"/>
  <c r="L87" i="6"/>
  <c r="C86" i="6"/>
  <c r="J87" i="6" l="1"/>
  <c r="B86" i="6"/>
  <c r="C87" i="6"/>
  <c r="L88" i="6"/>
  <c r="C88" i="6" s="1"/>
  <c r="L101" i="6"/>
  <c r="L89" i="6"/>
  <c r="C89" i="6" s="1"/>
  <c r="B87" i="6" l="1"/>
  <c r="J101" i="6"/>
  <c r="J89" i="6"/>
  <c r="B89" i="6" s="1"/>
  <c r="J88" i="6"/>
  <c r="B88" i="6" s="1"/>
  <c r="L102" i="6"/>
  <c r="C101" i="6"/>
  <c r="J102" i="6" l="1"/>
  <c r="B101" i="6"/>
  <c r="C102" i="6"/>
  <c r="L103" i="6"/>
  <c r="J103" i="6" l="1"/>
  <c r="B102" i="6"/>
  <c r="L104" i="6"/>
  <c r="C103" i="6"/>
  <c r="J104" i="6" l="1"/>
  <c r="B103" i="6"/>
  <c r="L105" i="6"/>
  <c r="C104" i="6"/>
  <c r="B104" i="6" l="1"/>
  <c r="J105" i="6"/>
  <c r="C105" i="6"/>
  <c r="L107" i="6"/>
  <c r="B105" i="6" l="1"/>
  <c r="J107" i="6"/>
  <c r="L110" i="6"/>
  <c r="C110" i="6" s="1"/>
  <c r="L106" i="6"/>
  <c r="C107" i="6"/>
  <c r="J110" i="6" l="1"/>
  <c r="B110" i="6" s="1"/>
  <c r="B107" i="6"/>
  <c r="J106" i="6"/>
  <c r="L108" i="6"/>
  <c r="L109" i="6"/>
  <c r="C109" i="6" s="1"/>
  <c r="C106" i="6"/>
  <c r="J108" i="6" l="1"/>
  <c r="J109" i="6"/>
  <c r="B109" i="6" s="1"/>
  <c r="B106" i="6"/>
  <c r="C108" i="6"/>
  <c r="L111" i="6"/>
  <c r="J111" i="6" l="1"/>
  <c r="B108" i="6"/>
  <c r="C111" i="6"/>
  <c r="L112" i="6"/>
  <c r="B111" i="6" l="1"/>
  <c r="J112" i="6"/>
  <c r="C112" i="6"/>
  <c r="L113" i="6"/>
  <c r="J113" i="6" l="1"/>
  <c r="B112" i="6"/>
  <c r="C113" i="6"/>
  <c r="L114" i="6"/>
  <c r="B113" i="6" l="1"/>
  <c r="J114" i="6"/>
  <c r="L115" i="6"/>
  <c r="C114" i="6"/>
  <c r="B114" i="6" l="1"/>
  <c r="J115" i="6"/>
  <c r="C115" i="6"/>
  <c r="L116" i="6"/>
  <c r="J116" i="6" l="1"/>
  <c r="B115" i="6"/>
  <c r="L117" i="6"/>
  <c r="C116" i="6"/>
  <c r="B116" i="6" l="1"/>
  <c r="J117" i="6"/>
  <c r="L118" i="6"/>
  <c r="C117" i="6"/>
  <c r="B117" i="6" l="1"/>
  <c r="J118" i="6"/>
  <c r="L119" i="6"/>
  <c r="C118" i="6"/>
  <c r="B118" i="6" l="1"/>
  <c r="J119" i="6"/>
  <c r="C119" i="6"/>
  <c r="L120" i="6"/>
  <c r="B119" i="6" l="1"/>
  <c r="J120" i="6"/>
  <c r="C120" i="6"/>
  <c r="L121" i="6"/>
  <c r="B120" i="6" l="1"/>
  <c r="J121" i="6"/>
  <c r="C121" i="6"/>
  <c r="L122" i="6"/>
  <c r="B121" i="6" l="1"/>
  <c r="J122" i="6"/>
  <c r="L138" i="6"/>
  <c r="C122" i="6"/>
  <c r="B122" i="6" l="1"/>
  <c r="J138" i="6"/>
  <c r="L139" i="6"/>
  <c r="C138" i="6"/>
  <c r="B138" i="6" l="1"/>
  <c r="J139" i="6"/>
  <c r="C139" i="6"/>
  <c r="L140" i="6"/>
  <c r="B139" i="6" l="1"/>
  <c r="J140" i="6"/>
  <c r="C140" i="6"/>
  <c r="L141" i="6"/>
  <c r="B140" i="6" l="1"/>
  <c r="J141" i="6"/>
  <c r="L142" i="6"/>
  <c r="C141" i="6"/>
  <c r="B141" i="6" l="1"/>
  <c r="J142" i="6"/>
  <c r="L143" i="6"/>
  <c r="C142" i="6"/>
  <c r="B142" i="6" l="1"/>
  <c r="J143" i="6"/>
  <c r="C143" i="6"/>
  <c r="L144" i="6"/>
  <c r="B143" i="6" l="1"/>
  <c r="J144" i="6"/>
  <c r="C144" i="6"/>
  <c r="L145" i="6"/>
  <c r="B144" i="6" l="1"/>
  <c r="J145" i="6"/>
  <c r="C145" i="6"/>
  <c r="L146" i="6"/>
  <c r="B145" i="6" l="1"/>
  <c r="J146" i="6"/>
  <c r="L147" i="6"/>
  <c r="C146" i="6"/>
  <c r="B146" i="6" l="1"/>
  <c r="J147" i="6"/>
  <c r="L148" i="6"/>
  <c r="C147" i="6"/>
  <c r="B147" i="6" l="1"/>
  <c r="J148" i="6"/>
  <c r="L149" i="6"/>
  <c r="C148" i="6"/>
  <c r="B148" i="6" l="1"/>
  <c r="J149" i="6"/>
  <c r="L150" i="6"/>
  <c r="C149" i="6"/>
  <c r="B149" i="6" l="1"/>
  <c r="J150" i="6"/>
  <c r="C150" i="6"/>
  <c r="L151" i="6"/>
  <c r="B150" i="6" l="1"/>
  <c r="J151" i="6"/>
  <c r="C151" i="6"/>
  <c r="L152" i="6"/>
  <c r="B151" i="6" l="1"/>
  <c r="J152" i="6"/>
  <c r="C152" i="6"/>
  <c r="L153" i="6"/>
  <c r="G142" i="3"/>
  <c r="F141" i="3"/>
  <c r="G141" i="3" s="1"/>
  <c r="G128" i="3"/>
  <c r="F129" i="3"/>
  <c r="G129" i="3" s="1"/>
  <c r="F128" i="3"/>
  <c r="F127" i="3"/>
  <c r="G127" i="3" s="1"/>
  <c r="F126" i="3"/>
  <c r="G126" i="3" s="1"/>
  <c r="F222" i="12"/>
  <c r="F221" i="12"/>
  <c r="B152" i="6" l="1"/>
  <c r="J153" i="6"/>
  <c r="L157" i="6"/>
  <c r="C153" i="6"/>
  <c r="D233" i="28"/>
  <c r="D289" i="28"/>
  <c r="F289" i="28" s="1"/>
  <c r="D311" i="28"/>
  <c r="F309" i="28"/>
  <c r="D279" i="28"/>
  <c r="F279" i="28" s="1"/>
  <c r="F308" i="28"/>
  <c r="D216" i="28"/>
  <c r="B153" i="6" l="1"/>
  <c r="J157" i="6"/>
  <c r="L158" i="6"/>
  <c r="C157" i="6"/>
  <c r="D215" i="28"/>
  <c r="F215" i="28" s="1"/>
  <c r="D325" i="28"/>
  <c r="D324" i="28"/>
  <c r="D323" i="28"/>
  <c r="D322" i="28"/>
  <c r="D321" i="28"/>
  <c r="D319" i="28"/>
  <c r="D320" i="28"/>
  <c r="D318" i="28"/>
  <c r="D300" i="28"/>
  <c r="D296" i="28"/>
  <c r="D295" i="28"/>
  <c r="D294" i="28"/>
  <c r="D293" i="28"/>
  <c r="D292" i="28"/>
  <c r="D286" i="28"/>
  <c r="D284" i="28"/>
  <c r="D281" i="28"/>
  <c r="D271" i="28"/>
  <c r="D262" i="28"/>
  <c r="D304" i="28"/>
  <c r="D259" i="28"/>
  <c r="D257" i="28"/>
  <c r="D254" i="28"/>
  <c r="D252" i="28"/>
  <c r="D251" i="28"/>
  <c r="D249" i="28"/>
  <c r="D248" i="28"/>
  <c r="D245" i="28"/>
  <c r="D244" i="28"/>
  <c r="D241" i="28"/>
  <c r="D240" i="28"/>
  <c r="D239" i="28"/>
  <c r="D238" i="28"/>
  <c r="D226" i="28"/>
  <c r="D214" i="28"/>
  <c r="D222" i="28"/>
  <c r="D221" i="28"/>
  <c r="D220" i="28"/>
  <c r="D209" i="28"/>
  <c r="D198" i="28"/>
  <c r="B157" i="6" l="1"/>
  <c r="J158" i="6"/>
  <c r="C158" i="6"/>
  <c r="L159" i="6"/>
  <c r="E351" i="28"/>
  <c r="E352" i="28" s="1"/>
  <c r="E348" i="28"/>
  <c r="E347" i="28"/>
  <c r="E346" i="28"/>
  <c r="E345" i="28"/>
  <c r="E344" i="28"/>
  <c r="E343" i="28"/>
  <c r="E342" i="28"/>
  <c r="E326" i="28"/>
  <c r="F325" i="28"/>
  <c r="F324" i="28"/>
  <c r="F323" i="28"/>
  <c r="F322" i="28"/>
  <c r="F321" i="28"/>
  <c r="F320" i="28"/>
  <c r="F319" i="28"/>
  <c r="F318" i="28"/>
  <c r="D317" i="28"/>
  <c r="F317" i="28" s="1"/>
  <c r="F315" i="28"/>
  <c r="F313" i="28"/>
  <c r="F312" i="28"/>
  <c r="F311" i="28"/>
  <c r="D301" i="28"/>
  <c r="F301" i="28" s="1"/>
  <c r="F300" i="28"/>
  <c r="F298" i="28"/>
  <c r="F296" i="28"/>
  <c r="F295" i="28"/>
  <c r="F294" i="28"/>
  <c r="F293" i="28"/>
  <c r="F292" i="28"/>
  <c r="D288" i="28"/>
  <c r="F288" i="28" s="1"/>
  <c r="F287" i="28"/>
  <c r="F286" i="28"/>
  <c r="F285" i="28"/>
  <c r="F284" i="28"/>
  <c r="F282" i="28"/>
  <c r="F281" i="28"/>
  <c r="F277" i="28"/>
  <c r="F276" i="28"/>
  <c r="F275" i="28"/>
  <c r="F307" i="28"/>
  <c r="F306" i="28"/>
  <c r="F273" i="28"/>
  <c r="F272" i="28"/>
  <c r="F271" i="28"/>
  <c r="F270" i="28"/>
  <c r="F269" i="28"/>
  <c r="F268" i="28"/>
  <c r="F266" i="28"/>
  <c r="F305" i="28"/>
  <c r="D263" i="28"/>
  <c r="F263" i="28" s="1"/>
  <c r="F262" i="28"/>
  <c r="F261" i="28"/>
  <c r="F260" i="28"/>
  <c r="F304" i="28"/>
  <c r="F259" i="28"/>
  <c r="D258" i="28"/>
  <c r="F258" i="28" s="1"/>
  <c r="F257" i="28"/>
  <c r="F303" i="28"/>
  <c r="F255" i="28"/>
  <c r="F254" i="28"/>
  <c r="F253" i="28"/>
  <c r="F252" i="28"/>
  <c r="F251" i="28"/>
  <c r="F250" i="28"/>
  <c r="F249" i="28"/>
  <c r="F248" i="28"/>
  <c r="D247" i="28"/>
  <c r="F247" i="28" s="1"/>
  <c r="D246" i="28"/>
  <c r="F246" i="28" s="1"/>
  <c r="F245" i="28"/>
  <c r="F244" i="28"/>
  <c r="F241" i="28"/>
  <c r="F240" i="28"/>
  <c r="F239" i="28"/>
  <c r="F238" i="28"/>
  <c r="F236" i="28"/>
  <c r="F235" i="28"/>
  <c r="F233" i="28"/>
  <c r="F232" i="28"/>
  <c r="F231" i="28"/>
  <c r="F230" i="28"/>
  <c r="D228" i="28"/>
  <c r="F228" i="28" s="1"/>
  <c r="D227" i="28"/>
  <c r="F227" i="28" s="1"/>
  <c r="F226" i="28"/>
  <c r="F224" i="28"/>
  <c r="F214" i="28"/>
  <c r="F223" i="28"/>
  <c r="F222" i="28"/>
  <c r="F221" i="28"/>
  <c r="F220" i="28"/>
  <c r="F219" i="28"/>
  <c r="F218" i="28"/>
  <c r="F212" i="28"/>
  <c r="F210" i="28"/>
  <c r="F209" i="28"/>
  <c r="F206" i="28"/>
  <c r="F205" i="28"/>
  <c r="F198" i="28"/>
  <c r="F196" i="28"/>
  <c r="F194" i="28"/>
  <c r="F193" i="28"/>
  <c r="F192" i="28"/>
  <c r="F191" i="28"/>
  <c r="F190" i="28"/>
  <c r="I189" i="28"/>
  <c r="D186" i="28" s="1"/>
  <c r="F186" i="28" s="1"/>
  <c r="F189" i="28"/>
  <c r="F188" i="28"/>
  <c r="C184" i="28"/>
  <c r="C183" i="28"/>
  <c r="B17" i="28"/>
  <c r="C9" i="28"/>
  <c r="B158" i="6" l="1"/>
  <c r="J159" i="6"/>
  <c r="L160" i="6"/>
  <c r="C159" i="6"/>
  <c r="E353" i="28"/>
  <c r="D318" i="12"/>
  <c r="F318" i="12" s="1"/>
  <c r="F328" i="12"/>
  <c r="F327" i="12"/>
  <c r="F326" i="12"/>
  <c r="F325" i="12"/>
  <c r="F324" i="12"/>
  <c r="F323" i="12"/>
  <c r="F322" i="12"/>
  <c r="F321" i="12"/>
  <c r="F319" i="12"/>
  <c r="F317" i="12"/>
  <c r="F315" i="12"/>
  <c r="D310" i="12"/>
  <c r="D308" i="12"/>
  <c r="B159" i="6" l="1"/>
  <c r="J160" i="6"/>
  <c r="L161" i="6"/>
  <c r="C160" i="6"/>
  <c r="F312" i="12"/>
  <c r="F311" i="12"/>
  <c r="F310" i="12"/>
  <c r="F309" i="12"/>
  <c r="F308" i="12"/>
  <c r="B160" i="6" l="1"/>
  <c r="J161" i="6"/>
  <c r="C161" i="6"/>
  <c r="L162" i="6"/>
  <c r="F306" i="12"/>
  <c r="F305" i="12"/>
  <c r="F304" i="12"/>
  <c r="F303" i="12"/>
  <c r="D301" i="12"/>
  <c r="F301" i="12" s="1"/>
  <c r="D300" i="12"/>
  <c r="F300" i="12" s="1"/>
  <c r="D299" i="12"/>
  <c r="F299" i="12" s="1"/>
  <c r="D298" i="12"/>
  <c r="F298" i="12" s="1"/>
  <c r="D287" i="12"/>
  <c r="F287" i="12" s="1"/>
  <c r="D286" i="12"/>
  <c r="F286" i="12" s="1"/>
  <c r="F297" i="12"/>
  <c r="D284" i="12"/>
  <c r="F284" i="12" s="1"/>
  <c r="D283" i="12"/>
  <c r="F283" i="12" s="1"/>
  <c r="D274" i="12"/>
  <c r="F274" i="12" s="1"/>
  <c r="F281" i="12"/>
  <c r="F280" i="12"/>
  <c r="F279" i="12"/>
  <c r="F278" i="12"/>
  <c r="F277" i="12"/>
  <c r="F276" i="12"/>
  <c r="F275" i="12"/>
  <c r="D272" i="12"/>
  <c r="B161" i="6" l="1"/>
  <c r="J162" i="6"/>
  <c r="C162" i="6"/>
  <c r="L163" i="6"/>
  <c r="D263" i="12"/>
  <c r="F263" i="12" s="1"/>
  <c r="F272" i="12"/>
  <c r="F271" i="12"/>
  <c r="F269" i="12"/>
  <c r="F268" i="12"/>
  <c r="F267" i="12"/>
  <c r="F266" i="12"/>
  <c r="F265" i="12"/>
  <c r="F264" i="12"/>
  <c r="B162" i="6" l="1"/>
  <c r="J163" i="6"/>
  <c r="L164" i="6"/>
  <c r="C164" i="6" s="1"/>
  <c r="C163" i="6"/>
  <c r="D261" i="12"/>
  <c r="F261" i="12" s="1"/>
  <c r="D259" i="12"/>
  <c r="F259" i="12" s="1"/>
  <c r="D257" i="12"/>
  <c r="F257" i="12" s="1"/>
  <c r="D254" i="12"/>
  <c r="F254" i="12" s="1"/>
  <c r="F258" i="12"/>
  <c r="F256" i="12"/>
  <c r="D252" i="12"/>
  <c r="F252" i="12" s="1"/>
  <c r="D250" i="12"/>
  <c r="F250" i="12" s="1"/>
  <c r="D249" i="12"/>
  <c r="F249" i="12" s="1"/>
  <c r="D247" i="12"/>
  <c r="F247" i="12" s="1"/>
  <c r="D246" i="12"/>
  <c r="F246" i="12" s="1"/>
  <c r="D245" i="12"/>
  <c r="F245" i="12" s="1"/>
  <c r="D242" i="12"/>
  <c r="F242" i="12" s="1"/>
  <c r="D239" i="12"/>
  <c r="F239" i="12" s="1"/>
  <c r="D238" i="12"/>
  <c r="F238" i="12" s="1"/>
  <c r="F251" i="12"/>
  <c r="F248" i="12"/>
  <c r="F243" i="12"/>
  <c r="F241" i="12"/>
  <c r="F240" i="12"/>
  <c r="F236" i="12"/>
  <c r="F234" i="12"/>
  <c r="F233" i="12"/>
  <c r="F232" i="12"/>
  <c r="F231" i="12"/>
  <c r="F230" i="12"/>
  <c r="B163" i="6" l="1"/>
  <c r="J164" i="6"/>
  <c r="B164" i="6" s="1"/>
  <c r="D255" i="12"/>
  <c r="F255" i="12" s="1"/>
  <c r="F192" i="27" l="1"/>
  <c r="F189" i="27"/>
  <c r="F185" i="27"/>
  <c r="F183" i="27"/>
  <c r="F182" i="27"/>
  <c r="F181" i="27"/>
  <c r="F180" i="27"/>
  <c r="B17" i="27"/>
  <c r="F25" i="25" l="1"/>
  <c r="F22" i="25"/>
  <c r="F9" i="25"/>
  <c r="B276" i="29"/>
  <c r="E329" i="12"/>
  <c r="D228" i="12"/>
  <c r="F228" i="12" s="1"/>
  <c r="F227" i="12"/>
  <c r="D226" i="12"/>
  <c r="F226" i="12" s="1"/>
  <c r="F225" i="12"/>
  <c r="F224" i="12"/>
  <c r="D219" i="12"/>
  <c r="F219" i="12" s="1"/>
  <c r="D217" i="12"/>
  <c r="F217" i="12" s="1"/>
  <c r="D216" i="12"/>
  <c r="F216" i="12" s="1"/>
  <c r="D213" i="12"/>
  <c r="F213" i="12" s="1"/>
  <c r="D212" i="12"/>
  <c r="D211" i="12"/>
  <c r="F211" i="12" s="1"/>
  <c r="D210" i="12"/>
  <c r="F210" i="12" s="1"/>
  <c r="D209" i="12"/>
  <c r="F209" i="12" s="1"/>
  <c r="D208" i="12"/>
  <c r="F207" i="12"/>
  <c r="F206" i="12"/>
  <c r="D205" i="12"/>
  <c r="F204" i="12"/>
  <c r="D198" i="12"/>
  <c r="F198" i="12" s="1"/>
  <c r="F196" i="12"/>
  <c r="F194" i="12"/>
  <c r="H193" i="12"/>
  <c r="F193" i="12"/>
  <c r="F192" i="12"/>
  <c r="F191" i="12"/>
  <c r="F190" i="12"/>
  <c r="I189" i="12"/>
  <c r="D186" i="12" s="1"/>
  <c r="F186" i="12" s="1"/>
  <c r="F189" i="12"/>
  <c r="F188" i="12"/>
  <c r="C184" i="12"/>
  <c r="C183" i="12"/>
  <c r="B17" i="12"/>
  <c r="C9" i="12"/>
  <c r="F166" i="3"/>
  <c r="G166" i="3" s="1"/>
  <c r="F165" i="3"/>
  <c r="G165" i="3" s="1"/>
  <c r="F163" i="3"/>
  <c r="G163" i="3" s="1"/>
  <c r="F162" i="3"/>
  <c r="G162" i="3" s="1"/>
  <c r="F161" i="3"/>
  <c r="G161" i="3" s="1"/>
  <c r="F160" i="3"/>
  <c r="G160" i="3" s="1"/>
  <c r="F159" i="3"/>
  <c r="G159" i="3" s="1"/>
  <c r="F158" i="3"/>
  <c r="G158" i="3" s="1"/>
  <c r="F155" i="3"/>
  <c r="G155" i="3" s="1"/>
  <c r="B155" i="3"/>
  <c r="F154" i="3"/>
  <c r="G154" i="3" s="1"/>
  <c r="B154" i="3"/>
  <c r="F153" i="3"/>
  <c r="G153" i="3" s="1"/>
  <c r="B153" i="3"/>
  <c r="F152" i="3"/>
  <c r="G152" i="3" s="1"/>
  <c r="B152" i="3"/>
  <c r="F151" i="3"/>
  <c r="G151" i="3" s="1"/>
  <c r="B151" i="3"/>
  <c r="F150" i="3"/>
  <c r="G150" i="3" s="1"/>
  <c r="B150" i="3"/>
  <c r="F148" i="3"/>
  <c r="G148" i="3" s="1"/>
  <c r="F147" i="3"/>
  <c r="G147" i="3" s="1"/>
  <c r="F145" i="3"/>
  <c r="G145" i="3" s="1"/>
  <c r="B145" i="3"/>
  <c r="F144" i="3"/>
  <c r="G144" i="3" s="1"/>
  <c r="B144" i="3"/>
  <c r="F143" i="3"/>
  <c r="G143" i="3" s="1"/>
  <c r="B143" i="3"/>
  <c r="F142" i="3"/>
  <c r="B142" i="3"/>
  <c r="B141" i="3"/>
  <c r="F140" i="3"/>
  <c r="G140" i="3" s="1"/>
  <c r="B140" i="3"/>
  <c r="F139" i="3"/>
  <c r="G139" i="3" s="1"/>
  <c r="B139" i="3"/>
  <c r="F136" i="3"/>
  <c r="G136" i="3" s="1"/>
  <c r="F135" i="3"/>
  <c r="G135" i="3" s="1"/>
  <c r="F134" i="3"/>
  <c r="F133" i="3"/>
  <c r="G133" i="3" s="1"/>
  <c r="F131" i="3"/>
  <c r="G131" i="3" s="1"/>
  <c r="F125" i="3"/>
  <c r="G125" i="3" s="1"/>
  <c r="F124" i="3"/>
  <c r="G124" i="3" s="1"/>
  <c r="F122" i="3"/>
  <c r="G122" i="3" s="1"/>
  <c r="F121" i="3"/>
  <c r="G121" i="3" s="1"/>
  <c r="F120" i="3"/>
  <c r="G120" i="3" s="1"/>
  <c r="F118" i="3"/>
  <c r="G118" i="3" s="1"/>
  <c r="F117" i="3"/>
  <c r="G117" i="3" s="1"/>
  <c r="F116" i="3"/>
  <c r="G116" i="3" s="1"/>
  <c r="F114" i="3"/>
  <c r="G114" i="3" s="1"/>
  <c r="F113" i="3"/>
  <c r="G113" i="3" s="1"/>
  <c r="F112" i="3"/>
  <c r="G112" i="3" s="1"/>
  <c r="F111" i="3"/>
  <c r="G111" i="3" s="1"/>
  <c r="F109" i="3"/>
  <c r="G109" i="3" s="1"/>
  <c r="F108" i="3"/>
  <c r="G108" i="3" s="1"/>
  <c r="F107" i="3"/>
  <c r="G107" i="3" s="1"/>
  <c r="F106" i="3"/>
  <c r="G106" i="3" s="1"/>
  <c r="F105" i="3"/>
  <c r="G105" i="3" s="1"/>
  <c r="F104" i="3"/>
  <c r="G104" i="3" s="1"/>
  <c r="F103" i="3"/>
  <c r="G103" i="3" s="1"/>
  <c r="F102" i="3"/>
  <c r="G102" i="3" s="1"/>
  <c r="G101"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F203" i="12" l="1"/>
  <c r="B204" i="29"/>
  <c r="F208" i="12"/>
  <c r="F205" i="12"/>
  <c r="B205" i="29"/>
  <c r="F212" i="12"/>
  <c r="F19" i="25"/>
  <c r="G134" i="3"/>
  <c r="F207" i="28"/>
  <c r="F216" i="28"/>
  <c r="C3" i="3"/>
  <c r="G167" i="3"/>
  <c r="D214" i="12"/>
  <c r="F214" i="12" s="1"/>
  <c r="B207" i="29" l="1"/>
  <c r="B208" i="29" s="1"/>
  <c r="F329" i="12"/>
  <c r="B293" i="29"/>
  <c r="B294" i="29" s="1"/>
  <c r="B327" i="29"/>
  <c r="B277" i="29"/>
  <c r="G214" i="12"/>
  <c r="D326" i="28"/>
  <c r="D327" i="28" s="1"/>
  <c r="F326" i="28"/>
  <c r="D28" i="3"/>
  <c r="D24" i="3"/>
  <c r="D31" i="3"/>
  <c r="D32" i="3"/>
  <c r="D20" i="3"/>
  <c r="D4" i="3"/>
  <c r="D12" i="3"/>
  <c r="D16" i="3"/>
  <c r="D8" i="3"/>
  <c r="D46" i="3"/>
  <c r="D27" i="3"/>
  <c r="D23" i="3"/>
  <c r="C30" i="3"/>
  <c r="C6" i="3"/>
  <c r="E16" i="3"/>
  <c r="E4" i="3"/>
  <c r="C13" i="3"/>
  <c r="E59" i="3"/>
  <c r="C11" i="3"/>
  <c r="E31" i="3"/>
  <c r="D7" i="3"/>
  <c r="D38" i="3"/>
  <c r="E19" i="3"/>
  <c r="E11" i="3"/>
  <c r="E3" i="3"/>
  <c r="E61" i="3"/>
  <c r="E55" i="3"/>
  <c r="E49" i="3"/>
  <c r="E45" i="3"/>
  <c r="E37" i="3"/>
  <c r="E29" i="3"/>
  <c r="D29" i="3"/>
  <c r="D21" i="3"/>
  <c r="D13" i="3"/>
  <c r="D5" i="3"/>
  <c r="D39" i="3"/>
  <c r="D35" i="3"/>
  <c r="C36" i="3"/>
  <c r="C17" i="3"/>
  <c r="D34" i="3"/>
  <c r="D26" i="3"/>
  <c r="D18" i="3"/>
  <c r="D10" i="3"/>
  <c r="E65" i="3"/>
  <c r="E58" i="3"/>
  <c r="E54" i="3"/>
  <c r="E50" i="3"/>
  <c r="E46" i="3"/>
  <c r="E42" i="3"/>
  <c r="E38" i="3"/>
  <c r="E34" i="3"/>
  <c r="E30" i="3"/>
  <c r="E26" i="3"/>
  <c r="E22" i="3"/>
  <c r="C39" i="3"/>
  <c r="C38" i="3"/>
  <c r="C20" i="3"/>
  <c r="C12" i="3"/>
  <c r="C4" i="3"/>
  <c r="C22" i="3"/>
  <c r="E12" i="3"/>
  <c r="E43" i="3"/>
  <c r="C27" i="3"/>
  <c r="D3" i="3"/>
  <c r="C24" i="3"/>
  <c r="E15" i="3"/>
  <c r="E7" i="3"/>
  <c r="C34" i="3"/>
  <c r="C26" i="3"/>
  <c r="C18" i="3"/>
  <c r="C10" i="3"/>
  <c r="E18" i="3"/>
  <c r="E14" i="3"/>
  <c r="E10" i="3"/>
  <c r="E6" i="3"/>
  <c r="C35" i="3"/>
  <c r="C29" i="3"/>
  <c r="C21" i="3"/>
  <c r="E51" i="3"/>
  <c r="E41" i="3"/>
  <c r="E23" i="3"/>
  <c r="C31" i="3"/>
  <c r="C23" i="3"/>
  <c r="C15" i="3"/>
  <c r="C7" i="3"/>
  <c r="E33" i="3"/>
  <c r="E21" i="3"/>
  <c r="C32" i="3"/>
  <c r="D19" i="3"/>
  <c r="D11" i="3"/>
  <c r="D40" i="3"/>
  <c r="D36" i="3"/>
  <c r="E17" i="3"/>
  <c r="E13" i="3"/>
  <c r="E9" i="3"/>
  <c r="E5" i="3"/>
  <c r="E57" i="3"/>
  <c r="E53" i="3"/>
  <c r="E47" i="3"/>
  <c r="E39" i="3"/>
  <c r="E35" i="3"/>
  <c r="E27" i="3"/>
  <c r="C14" i="3"/>
  <c r="E8" i="3"/>
  <c r="C37" i="3"/>
  <c r="C5" i="3"/>
  <c r="E25" i="3"/>
  <c r="C19" i="3"/>
  <c r="D15" i="3"/>
  <c r="D329" i="12"/>
  <c r="D330" i="12" s="1"/>
  <c r="D33" i="3"/>
  <c r="D25" i="3"/>
  <c r="D17" i="3"/>
  <c r="D9" i="3"/>
  <c r="D37" i="3"/>
  <c r="C33" i="3"/>
  <c r="C25" i="3"/>
  <c r="C9" i="3"/>
  <c r="D30" i="3"/>
  <c r="D22" i="3"/>
  <c r="D14" i="3"/>
  <c r="D6" i="3"/>
  <c r="E60" i="3"/>
  <c r="E56" i="3"/>
  <c r="E52" i="3"/>
  <c r="E48" i="3"/>
  <c r="E44" i="3"/>
  <c r="E40" i="3"/>
  <c r="E36" i="3"/>
  <c r="E32" i="3"/>
  <c r="E28" i="3"/>
  <c r="E24" i="3"/>
  <c r="E20" i="3"/>
  <c r="C28" i="3"/>
  <c r="C16" i="3"/>
  <c r="C8" i="3"/>
  <c r="D41" i="3"/>
  <c r="B346" i="29" l="1"/>
  <c r="B348" i="29" s="1"/>
  <c r="B329" i="29"/>
  <c r="D42" i="3"/>
  <c r="E63" i="3"/>
  <c r="E64" i="3"/>
  <c r="E62" i="3"/>
  <c r="E354" i="12"/>
  <c r="E355" i="12" s="1"/>
  <c r="E348" i="12"/>
  <c r="E351" i="12"/>
  <c r="E347" i="12"/>
  <c r="E350" i="12"/>
  <c r="E346" i="12"/>
  <c r="E349" i="12"/>
  <c r="E345" i="12"/>
  <c r="D49" i="3"/>
  <c r="D43" i="3"/>
  <c r="E66" i="3"/>
  <c r="D45" i="3"/>
  <c r="D48" i="3"/>
  <c r="D47" i="3"/>
  <c r="D44" i="3"/>
  <c r="C40" i="3"/>
  <c r="C41" i="3" l="1"/>
  <c r="D50" i="3"/>
  <c r="E67" i="3"/>
  <c r="E356" i="12"/>
  <c r="E68" i="3" l="1"/>
  <c r="C42" i="3"/>
  <c r="D51" i="3"/>
  <c r="C43" i="3" l="1"/>
  <c r="E69" i="3"/>
  <c r="D52" i="3"/>
  <c r="D53" i="3" l="1"/>
  <c r="E70" i="3"/>
  <c r="C44" i="3"/>
  <c r="E71" i="3" l="1"/>
  <c r="C45" i="3"/>
  <c r="D54" i="3"/>
  <c r="C46" i="3" l="1"/>
  <c r="D55" i="3"/>
  <c r="E72" i="3"/>
  <c r="C47" i="3" l="1"/>
  <c r="D56" i="3"/>
  <c r="E73" i="3"/>
  <c r="C48" i="3" l="1"/>
  <c r="D57" i="3"/>
  <c r="E74" i="3"/>
  <c r="E75" i="3" l="1"/>
  <c r="C49" i="3"/>
  <c r="D58" i="3"/>
  <c r="D59" i="3" l="1"/>
  <c r="E76" i="3"/>
  <c r="C50" i="3"/>
  <c r="D61" i="3" l="1"/>
  <c r="E77" i="3"/>
  <c r="D60" i="3"/>
  <c r="C51" i="3"/>
  <c r="E78" i="3" l="1"/>
  <c r="C52" i="3"/>
  <c r="D62" i="3"/>
  <c r="E79" i="3" l="1"/>
  <c r="D63" i="3"/>
  <c r="C53" i="3"/>
  <c r="C54" i="3" l="1"/>
  <c r="D64" i="3"/>
  <c r="E80" i="3"/>
  <c r="D65" i="3" l="1"/>
  <c r="E81" i="3"/>
  <c r="D66" i="3"/>
  <c r="C55" i="3"/>
  <c r="C56" i="3" l="1"/>
  <c r="E82" i="3"/>
  <c r="D67" i="3"/>
  <c r="C57" i="3" l="1"/>
  <c r="D68" i="3"/>
  <c r="E83" i="3"/>
  <c r="E84" i="3" l="1"/>
  <c r="D69" i="3"/>
  <c r="C58" i="3"/>
  <c r="C59" i="3" l="1"/>
  <c r="E85" i="3"/>
  <c r="D70" i="3"/>
  <c r="C61" i="3" l="1"/>
  <c r="D71" i="3"/>
  <c r="E86" i="3"/>
  <c r="C60" i="3"/>
  <c r="E87" i="3" l="1"/>
  <c r="D72" i="3"/>
  <c r="C62" i="3"/>
  <c r="E88" i="3" l="1"/>
  <c r="C63" i="3"/>
  <c r="D73" i="3"/>
  <c r="C64" i="3" l="1"/>
  <c r="D74" i="3"/>
  <c r="E89" i="3"/>
  <c r="C65" i="3" l="1"/>
  <c r="C66" i="3"/>
  <c r="E90" i="3"/>
  <c r="D75" i="3"/>
  <c r="C67" i="3" l="1"/>
  <c r="D76" i="3"/>
  <c r="E91" i="3"/>
  <c r="C68" i="3" l="1"/>
  <c r="E92" i="3"/>
  <c r="D77" i="3"/>
  <c r="C69" i="3" l="1"/>
  <c r="E93" i="3"/>
  <c r="D78" i="3"/>
  <c r="D79" i="3" l="1"/>
  <c r="C70" i="3"/>
  <c r="E94" i="3"/>
  <c r="E95" i="3" l="1"/>
  <c r="C71" i="3"/>
  <c r="D80" i="3"/>
  <c r="C72" i="3" l="1"/>
  <c r="D81" i="3"/>
  <c r="E96" i="3"/>
  <c r="D82" i="3" l="1"/>
  <c r="C73" i="3"/>
  <c r="E97" i="3"/>
  <c r="D83" i="3" l="1"/>
  <c r="C74" i="3"/>
  <c r="C75" i="3" l="1"/>
  <c r="D84" i="3"/>
  <c r="D85" i="3" l="1"/>
  <c r="C76" i="3"/>
  <c r="C77" i="3" l="1"/>
  <c r="D86" i="3"/>
  <c r="D87" i="3" l="1"/>
  <c r="C78" i="3"/>
  <c r="C79" i="3" l="1"/>
  <c r="D88" i="3"/>
  <c r="C80" i="3" l="1"/>
  <c r="D89" i="3"/>
  <c r="D90" i="3" l="1"/>
  <c r="C81" i="3"/>
  <c r="C82" i="3" l="1"/>
  <c r="D91" i="3"/>
  <c r="D92" i="3" l="1"/>
  <c r="C83" i="3"/>
  <c r="C84" i="3" l="1"/>
  <c r="D93" i="3"/>
  <c r="C85" i="3" l="1"/>
  <c r="D94" i="3"/>
  <c r="D95" i="3" l="1"/>
  <c r="C86" i="3"/>
  <c r="D96" i="3" l="1"/>
  <c r="C87" i="3"/>
  <c r="M5" i="4" l="1"/>
  <c r="E5" i="4" s="1"/>
  <c r="E5" i="6" s="1"/>
  <c r="E8" i="7"/>
  <c r="D97" i="3"/>
  <c r="C88" i="3"/>
  <c r="M6" i="4" l="1"/>
  <c r="E6" i="4" s="1"/>
  <c r="E6" i="6" s="1"/>
  <c r="E9" i="7"/>
  <c r="C89" i="3"/>
  <c r="M7" i="4" l="1"/>
  <c r="E7" i="4" s="1"/>
  <c r="E7" i="6" s="1"/>
  <c r="E10" i="7"/>
  <c r="C90" i="3"/>
  <c r="M8" i="4" l="1"/>
  <c r="E11" i="7"/>
  <c r="C91" i="3"/>
  <c r="E8" i="4" l="1"/>
  <c r="E8" i="6" s="1"/>
  <c r="M9" i="4"/>
  <c r="E9" i="4" s="1"/>
  <c r="E9" i="6" s="1"/>
  <c r="C92" i="3"/>
  <c r="E12" i="7" l="1"/>
  <c r="M10" i="4"/>
  <c r="E13" i="7"/>
  <c r="C93" i="3"/>
  <c r="E10" i="4" l="1"/>
  <c r="E10" i="6" s="1"/>
  <c r="M11" i="4"/>
  <c r="C94" i="3"/>
  <c r="E14" i="7" l="1"/>
  <c r="E11" i="4"/>
  <c r="M12" i="4"/>
  <c r="E12" i="4" s="1"/>
  <c r="C95" i="3"/>
  <c r="E16" i="7" l="1"/>
  <c r="E12" i="6"/>
  <c r="E15" i="7"/>
  <c r="E11" i="6"/>
  <c r="M13" i="4"/>
  <c r="E13" i="4" s="1"/>
  <c r="C97" i="3"/>
  <c r="C96" i="3"/>
  <c r="M14" i="4" l="1"/>
  <c r="M15" i="4" s="1"/>
  <c r="E13" i="6"/>
  <c r="E17" i="7"/>
  <c r="E14" i="4"/>
  <c r="E14" i="6" l="1"/>
  <c r="E18" i="7"/>
  <c r="E15" i="4"/>
  <c r="M16" i="4"/>
  <c r="E16" i="4" s="1"/>
  <c r="E20" i="7" s="1"/>
  <c r="E15" i="6" l="1"/>
  <c r="E19" i="7"/>
  <c r="E17" i="6"/>
  <c r="E16" i="6"/>
  <c r="E18" i="6"/>
  <c r="E19" i="6" l="1"/>
  <c r="E20" i="6" l="1"/>
  <c r="E21" i="6" l="1"/>
  <c r="L5" i="4"/>
  <c r="E22" i="6" l="1"/>
  <c r="D5" i="4"/>
  <c r="L6" i="4"/>
  <c r="D6" i="4" s="1"/>
  <c r="D6" i="6" s="1"/>
  <c r="D8" i="7"/>
  <c r="F6" i="6" l="1"/>
  <c r="D9" i="7"/>
  <c r="D5" i="6"/>
  <c r="L7" i="4"/>
  <c r="D7" i="4" s="1"/>
  <c r="D7" i="6" s="1"/>
  <c r="D10" i="7"/>
  <c r="E23" i="6" l="1"/>
  <c r="E24" i="6"/>
  <c r="E27" i="6"/>
  <c r="F5" i="6"/>
  <c r="F7" i="6"/>
  <c r="L8" i="4"/>
  <c r="D11" i="7"/>
  <c r="I5" i="4"/>
  <c r="B5" i="4" s="1"/>
  <c r="B9" i="7" s="1"/>
  <c r="D8" i="4" l="1"/>
  <c r="D8" i="6" s="1"/>
  <c r="L9" i="4"/>
  <c r="D9" i="4" s="1"/>
  <c r="D9" i="6" s="1"/>
  <c r="E25" i="6"/>
  <c r="E26" i="6"/>
  <c r="F8" i="6"/>
  <c r="D12" i="7"/>
  <c r="I6" i="4"/>
  <c r="B6" i="4" s="1"/>
  <c r="B10" i="7" s="1"/>
  <c r="E28" i="6" l="1"/>
  <c r="F9" i="6"/>
  <c r="L10" i="4"/>
  <c r="D13" i="7"/>
  <c r="I7" i="4"/>
  <c r="B7" i="4" s="1"/>
  <c r="B11" i="7" s="1"/>
  <c r="D10" i="4" l="1"/>
  <c r="D10" i="6" s="1"/>
  <c r="F10" i="6" s="1"/>
  <c r="L11" i="4"/>
  <c r="I8" i="4"/>
  <c r="B8" i="4" l="1"/>
  <c r="B12" i="7" s="1"/>
  <c r="I9" i="4"/>
  <c r="D14" i="7"/>
  <c r="L12" i="4"/>
  <c r="D12" i="4" s="1"/>
  <c r="D11" i="4"/>
  <c r="E29" i="6"/>
  <c r="D15" i="7" l="1"/>
  <c r="D11" i="6"/>
  <c r="F11" i="6" s="1"/>
  <c r="D16" i="7"/>
  <c r="D12" i="6"/>
  <c r="F12" i="6" s="1"/>
  <c r="L13" i="4"/>
  <c r="D13" i="4" s="1"/>
  <c r="E30" i="6"/>
  <c r="I10" i="4"/>
  <c r="L14" i="4" l="1"/>
  <c r="L15" i="4" s="1"/>
  <c r="D13" i="6"/>
  <c r="F13" i="6" s="1"/>
  <c r="D17" i="7"/>
  <c r="I11" i="4"/>
  <c r="E31" i="6"/>
  <c r="D14" i="4" l="1"/>
  <c r="D14" i="6" s="1"/>
  <c r="I12" i="4"/>
  <c r="B12" i="4" s="1"/>
  <c r="B16" i="7" s="1"/>
  <c r="D17" i="6"/>
  <c r="F17" i="6" s="1"/>
  <c r="D15" i="4"/>
  <c r="D19" i="7" s="1"/>
  <c r="L16" i="4"/>
  <c r="D16" i="4" s="1"/>
  <c r="D20" i="7" s="1"/>
  <c r="E32" i="6"/>
  <c r="D18" i="6"/>
  <c r="D18" i="7" l="1"/>
  <c r="I13" i="4"/>
  <c r="I14" i="4" s="1"/>
  <c r="B14" i="4" s="1"/>
  <c r="B18" i="7" s="1"/>
  <c r="F14" i="6"/>
  <c r="D16" i="6"/>
  <c r="D15" i="6"/>
  <c r="E33" i="6"/>
  <c r="F18" i="6"/>
  <c r="D19" i="6"/>
  <c r="B13" i="4" l="1"/>
  <c r="B17" i="7" s="1"/>
  <c r="I15" i="4"/>
  <c r="I16" i="4" s="1"/>
  <c r="B16" i="4" s="1"/>
  <c r="B20" i="7" s="1"/>
  <c r="F16" i="6"/>
  <c r="F15" i="6"/>
  <c r="E34" i="6"/>
  <c r="F19" i="6"/>
  <c r="D20" i="6"/>
  <c r="B15" i="4" l="1"/>
  <c r="B19" i="7" s="1"/>
  <c r="B23" i="7" s="1"/>
  <c r="A24" i="7" s="1"/>
  <c r="C178" i="27" s="1"/>
  <c r="E35" i="6"/>
  <c r="F20" i="6"/>
  <c r="D21" i="6"/>
  <c r="AL379" i="27" l="1"/>
  <c r="AL375" i="27"/>
  <c r="AK378" i="27"/>
  <c r="AK374" i="27"/>
  <c r="AL389" i="27"/>
  <c r="AL385" i="27"/>
  <c r="AL381" i="27"/>
  <c r="AK389" i="27"/>
  <c r="AK385" i="27"/>
  <c r="AK381" i="27"/>
  <c r="AR378" i="27"/>
  <c r="AR374" i="27"/>
  <c r="AQ377" i="27"/>
  <c r="AQ373" i="27"/>
  <c r="AP374" i="27"/>
  <c r="AO375" i="27"/>
  <c r="AN385" i="27"/>
  <c r="AN381" i="27"/>
  <c r="AN377" i="27"/>
  <c r="AM385" i="27"/>
  <c r="AM381" i="27"/>
  <c r="AM377" i="27"/>
  <c r="AJ394" i="27"/>
  <c r="AJ390" i="27"/>
  <c r="AJ386" i="27"/>
  <c r="AJ382" i="27"/>
  <c r="AJ378" i="27"/>
  <c r="AJ374" i="27"/>
  <c r="AI393" i="27"/>
  <c r="AI389" i="27"/>
  <c r="AI385" i="27"/>
  <c r="AI381" i="27"/>
  <c r="AI377" i="27"/>
  <c r="AI373" i="27"/>
  <c r="AH387" i="27"/>
  <c r="AH383" i="27"/>
  <c r="AH379" i="27"/>
  <c r="AH375" i="27"/>
  <c r="AG389" i="27"/>
  <c r="AG385" i="27"/>
  <c r="AG381" i="27"/>
  <c r="AG377" i="27"/>
  <c r="AG373" i="27"/>
  <c r="AF373" i="27"/>
  <c r="AE373" i="27"/>
  <c r="AD376" i="27"/>
  <c r="AC379" i="27"/>
  <c r="AC375" i="27"/>
  <c r="AB374" i="27"/>
  <c r="AA373" i="27"/>
  <c r="Z375" i="27"/>
  <c r="Y377" i="27"/>
  <c r="Y373" i="27"/>
  <c r="X377" i="27"/>
  <c r="X373" i="27"/>
  <c r="W377" i="27"/>
  <c r="W373" i="27"/>
  <c r="V380" i="27"/>
  <c r="V376" i="27"/>
  <c r="U383" i="27"/>
  <c r="U379" i="27"/>
  <c r="U375" i="27"/>
  <c r="T378" i="27"/>
  <c r="T374" i="27"/>
  <c r="S377" i="27"/>
  <c r="S373" i="27"/>
  <c r="Q388" i="27"/>
  <c r="R345" i="27"/>
  <c r="Q384" i="27"/>
  <c r="Q382" i="27"/>
  <c r="Q380" i="27"/>
  <c r="Q378" i="27"/>
  <c r="Q376" i="27"/>
  <c r="AM374" i="27"/>
  <c r="AM373" i="27"/>
  <c r="AL378" i="27"/>
  <c r="AL374" i="27"/>
  <c r="AK377" i="27"/>
  <c r="AK373" i="27"/>
  <c r="AL388" i="27"/>
  <c r="AL384" i="27"/>
  <c r="AL380" i="27"/>
  <c r="AK388" i="27"/>
  <c r="AK384" i="27"/>
  <c r="AK380" i="27"/>
  <c r="AL377" i="27"/>
  <c r="AK376" i="27"/>
  <c r="AL387" i="27"/>
  <c r="AK391" i="27"/>
  <c r="AK383" i="27"/>
  <c r="AR377" i="27"/>
  <c r="AQ379" i="27"/>
  <c r="AQ374" i="27"/>
  <c r="AP373" i="27"/>
  <c r="AO373" i="27"/>
  <c r="AN382" i="27"/>
  <c r="AN376" i="27"/>
  <c r="AM383" i="27"/>
  <c r="AM378" i="27"/>
  <c r="AJ393" i="27"/>
  <c r="AJ388" i="27"/>
  <c r="AJ383" i="27"/>
  <c r="AJ377" i="27"/>
  <c r="AI395" i="27"/>
  <c r="AI390" i="27"/>
  <c r="AI384" i="27"/>
  <c r="AI379" i="27"/>
  <c r="AI374" i="27"/>
  <c r="AH386" i="27"/>
  <c r="AH381" i="27"/>
  <c r="AH376" i="27"/>
  <c r="AG388" i="27"/>
  <c r="AG383" i="27"/>
  <c r="AG378" i="27"/>
  <c r="AF376" i="27"/>
  <c r="AE375" i="27"/>
  <c r="AD377" i="27"/>
  <c r="AC378" i="27"/>
  <c r="AC373" i="27"/>
  <c r="AA374" i="27"/>
  <c r="Z374" i="27"/>
  <c r="Y375" i="27"/>
  <c r="X378" i="27"/>
  <c r="W380" i="27"/>
  <c r="W375" i="27"/>
  <c r="V381" i="27"/>
  <c r="V375" i="27"/>
  <c r="U381" i="27"/>
  <c r="U376" i="27"/>
  <c r="T377" i="27"/>
  <c r="S379" i="27"/>
  <c r="S374" i="27"/>
  <c r="Q387" i="27"/>
  <c r="Q385" i="27"/>
  <c r="R382" i="27"/>
  <c r="R379" i="27"/>
  <c r="Q377" i="27"/>
  <c r="AN374" i="27"/>
  <c r="R373" i="27"/>
  <c r="AL376" i="27"/>
  <c r="AK375" i="27"/>
  <c r="AL386" i="27"/>
  <c r="AK390" i="27"/>
  <c r="AK382" i="27"/>
  <c r="AR376" i="27"/>
  <c r="AQ378" i="27"/>
  <c r="AP377" i="27"/>
  <c r="AO377" i="27"/>
  <c r="AN386" i="27"/>
  <c r="AN380" i="27"/>
  <c r="AN375" i="27"/>
  <c r="AM382" i="27"/>
  <c r="AM376" i="27"/>
  <c r="AJ392" i="27"/>
  <c r="AJ387" i="27"/>
  <c r="AJ381" i="27"/>
  <c r="AJ376" i="27"/>
  <c r="AI394" i="27"/>
  <c r="AI388" i="27"/>
  <c r="AI383" i="27"/>
  <c r="AI378" i="27"/>
  <c r="AH390" i="27"/>
  <c r="AH385" i="27"/>
  <c r="AH380" i="27"/>
  <c r="AH374" i="27"/>
  <c r="AG387" i="27"/>
  <c r="AG382" i="27"/>
  <c r="AG376" i="27"/>
  <c r="AF375" i="27"/>
  <c r="AE374" i="27"/>
  <c r="AD375" i="27"/>
  <c r="AC377" i="27"/>
  <c r="AB375" i="27"/>
  <c r="Z378" i="27"/>
  <c r="Z373" i="27"/>
  <c r="Y374" i="27"/>
  <c r="X376" i="27"/>
  <c r="W379" i="27"/>
  <c r="W374" i="27"/>
  <c r="V379" i="27"/>
  <c r="V374" i="27"/>
  <c r="U380" i="27"/>
  <c r="U374" i="27"/>
  <c r="T376" i="27"/>
  <c r="S378" i="27"/>
  <c r="R388" i="27"/>
  <c r="Q386" i="27"/>
  <c r="R384" i="27"/>
  <c r="R381" i="27"/>
  <c r="Q379" i="27"/>
  <c r="R376" i="27"/>
  <c r="R374" i="27"/>
  <c r="Q373" i="27"/>
  <c r="AL373" i="27"/>
  <c r="AL391" i="27"/>
  <c r="AL383" i="27"/>
  <c r="AK387" i="27"/>
  <c r="AR375" i="27"/>
  <c r="AQ376" i="27"/>
  <c r="AP376" i="27"/>
  <c r="AO376" i="27"/>
  <c r="AN384" i="27"/>
  <c r="AN379" i="27"/>
  <c r="AM386" i="27"/>
  <c r="AM380" i="27"/>
  <c r="AM375" i="27"/>
  <c r="AJ391" i="27"/>
  <c r="AJ385" i="27"/>
  <c r="AJ380" i="27"/>
  <c r="AJ375" i="27"/>
  <c r="AI392" i="27"/>
  <c r="AI387" i="27"/>
  <c r="AI382" i="27"/>
  <c r="AI376" i="27"/>
  <c r="AH389" i="27"/>
  <c r="AH384" i="27"/>
  <c r="AH378" i="27"/>
  <c r="AH373" i="27"/>
  <c r="AG386" i="27"/>
  <c r="AG380" i="27"/>
  <c r="AG375" i="27"/>
  <c r="AF374" i="27"/>
  <c r="AD379" i="27"/>
  <c r="AD374" i="27"/>
  <c r="AC376" i="27"/>
  <c r="AB373" i="27"/>
  <c r="Z377" i="27"/>
  <c r="Y378" i="27"/>
  <c r="X380" i="27"/>
  <c r="X375" i="27"/>
  <c r="W378" i="27"/>
  <c r="V383" i="27"/>
  <c r="V378" i="27"/>
  <c r="V373" i="27"/>
  <c r="U378" i="27"/>
  <c r="U373" i="27"/>
  <c r="T375" i="27"/>
  <c r="S376" i="27"/>
  <c r="R387" i="27"/>
  <c r="Q345" i="27"/>
  <c r="R383" i="27"/>
  <c r="Q381" i="27"/>
  <c r="R378" i="27"/>
  <c r="R375" i="27"/>
  <c r="Q374" i="27"/>
  <c r="AK379" i="27"/>
  <c r="AL390" i="27"/>
  <c r="AL382" i="27"/>
  <c r="AK386" i="27"/>
  <c r="AR379" i="27"/>
  <c r="AR373" i="27"/>
  <c r="AQ375" i="27"/>
  <c r="AP375" i="27"/>
  <c r="AO374" i="27"/>
  <c r="AN383" i="27"/>
  <c r="AJ395" i="27"/>
  <c r="AJ373" i="27"/>
  <c r="AI375" i="27"/>
  <c r="AG390" i="27"/>
  <c r="AE376" i="27"/>
  <c r="AA375" i="27"/>
  <c r="X374" i="27"/>
  <c r="U382" i="27"/>
  <c r="S375" i="27"/>
  <c r="R380" i="27"/>
  <c r="AN378" i="27"/>
  <c r="AJ389" i="27"/>
  <c r="AI391" i="27"/>
  <c r="AH388" i="27"/>
  <c r="AG384" i="27"/>
  <c r="AD378" i="27"/>
  <c r="Z376" i="27"/>
  <c r="W376" i="27"/>
  <c r="U377" i="27"/>
  <c r="R386" i="27"/>
  <c r="R377" i="27"/>
  <c r="AM384" i="27"/>
  <c r="AJ384" i="27"/>
  <c r="AI386" i="27"/>
  <c r="AH382" i="27"/>
  <c r="AG379" i="27"/>
  <c r="AD373" i="27"/>
  <c r="Y376" i="27"/>
  <c r="V382" i="27"/>
  <c r="T379" i="27"/>
  <c r="R385" i="27"/>
  <c r="Q375" i="27"/>
  <c r="AM379" i="27"/>
  <c r="AJ379" i="27"/>
  <c r="AI380" i="27"/>
  <c r="AH377" i="27"/>
  <c r="AG374" i="27"/>
  <c r="AC374" i="27"/>
  <c r="X379" i="27"/>
  <c r="V377" i="27"/>
  <c r="T373" i="27"/>
  <c r="Q383" i="27"/>
  <c r="AN373" i="27"/>
  <c r="AR351" i="27"/>
  <c r="AR347" i="27"/>
  <c r="AQ350" i="27"/>
  <c r="AQ346" i="27"/>
  <c r="AP347" i="27"/>
  <c r="AO348" i="27"/>
  <c r="AN357" i="27"/>
  <c r="AN353" i="27"/>
  <c r="AN348" i="27"/>
  <c r="AM357" i="27"/>
  <c r="AM353" i="27"/>
  <c r="AM348" i="27"/>
  <c r="AL351" i="27"/>
  <c r="AL347" i="27"/>
  <c r="AK350" i="27"/>
  <c r="AK346" i="27"/>
  <c r="AJ369" i="27"/>
  <c r="AJ367" i="27"/>
  <c r="AJ365" i="27"/>
  <c r="AJ364" i="27"/>
  <c r="AJ363" i="27"/>
  <c r="AJ362" i="27"/>
  <c r="AJ361" i="27"/>
  <c r="AJ358" i="27"/>
  <c r="R358" i="27"/>
  <c r="AH357" i="27"/>
  <c r="AJ356" i="27"/>
  <c r="V356" i="27"/>
  <c r="AJ355" i="27"/>
  <c r="V355" i="27"/>
  <c r="AJ354" i="27"/>
  <c r="V354" i="27"/>
  <c r="AJ353" i="27"/>
  <c r="X353" i="27"/>
  <c r="R353" i="27"/>
  <c r="AH351" i="27"/>
  <c r="X351" i="27"/>
  <c r="T351" i="27"/>
  <c r="AJ350" i="27"/>
  <c r="AD350" i="27"/>
  <c r="X350" i="27"/>
  <c r="T350" i="27"/>
  <c r="AJ349" i="27"/>
  <c r="AD349" i="27"/>
  <c r="X349" i="27"/>
  <c r="T349" i="27"/>
  <c r="AJ348" i="27"/>
  <c r="AF348" i="27"/>
  <c r="Z348" i="27"/>
  <c r="V348" i="27"/>
  <c r="R348" i="27"/>
  <c r="AH347" i="27"/>
  <c r="AD347" i="27"/>
  <c r="Z347" i="27"/>
  <c r="V347" i="27"/>
  <c r="R347" i="27"/>
  <c r="AH346" i="27"/>
  <c r="AD346" i="27"/>
  <c r="Z346" i="27"/>
  <c r="V346" i="27"/>
  <c r="R346" i="27"/>
  <c r="AH345" i="27"/>
  <c r="AD345" i="27"/>
  <c r="Z345" i="27"/>
  <c r="V345" i="27"/>
  <c r="AR350" i="27"/>
  <c r="AR346" i="27"/>
  <c r="AQ349" i="27"/>
  <c r="AQ345" i="27"/>
  <c r="AP346" i="27"/>
  <c r="AO347" i="27"/>
  <c r="AN356" i="27"/>
  <c r="AN351" i="27"/>
  <c r="AN347" i="27"/>
  <c r="AM356" i="27"/>
  <c r="AM351" i="27"/>
  <c r="AM347" i="27"/>
  <c r="AL350" i="27"/>
  <c r="AL346" i="27"/>
  <c r="AK349" i="27"/>
  <c r="AK345" i="27"/>
  <c r="AI369" i="27"/>
  <c r="AI367" i="27"/>
  <c r="AI365" i="27"/>
  <c r="AR349" i="27"/>
  <c r="AQ348" i="27"/>
  <c r="AP345" i="27"/>
  <c r="AN355" i="27"/>
  <c r="AN346" i="27"/>
  <c r="AM350" i="27"/>
  <c r="AL349" i="27"/>
  <c r="AK348" i="27"/>
  <c r="AJ368" i="27"/>
  <c r="AH365" i="27"/>
  <c r="AG364" i="27"/>
  <c r="AI362" i="27"/>
  <c r="AH361" i="27"/>
  <c r="AG358" i="27"/>
  <c r="AG357" i="27"/>
  <c r="AH356" i="27"/>
  <c r="Q356" i="27"/>
  <c r="U355" i="27"/>
  <c r="AH354" i="27"/>
  <c r="Q354" i="27"/>
  <c r="W353" i="27"/>
  <c r="AJ351" i="27"/>
  <c r="AC351" i="27"/>
  <c r="S351" i="27"/>
  <c r="AH350" i="27"/>
  <c r="Y350" i="27"/>
  <c r="S350" i="27"/>
  <c r="AH349" i="27"/>
  <c r="Y349" i="27"/>
  <c r="S349" i="27"/>
  <c r="AH348" i="27"/>
  <c r="AC348" i="27"/>
  <c r="U348" i="27"/>
  <c r="AJ347" i="27"/>
  <c r="AE347" i="27"/>
  <c r="Y347" i="27"/>
  <c r="T347" i="27"/>
  <c r="AI346" i="27"/>
  <c r="AC346" i="27"/>
  <c r="X346" i="27"/>
  <c r="S346" i="27"/>
  <c r="AG345" i="27"/>
  <c r="AB345" i="27"/>
  <c r="W345" i="27"/>
  <c r="AR345" i="27"/>
  <c r="AJ366" i="27"/>
  <c r="AG362" i="27"/>
  <c r="AJ357" i="27"/>
  <c r="Q357" i="27"/>
  <c r="AH355" i="27"/>
  <c r="AH353" i="27"/>
  <c r="AG351" i="27"/>
  <c r="Q351" i="27"/>
  <c r="V350" i="27"/>
  <c r="AC349" i="27"/>
  <c r="Q349" i="27"/>
  <c r="X348" i="27"/>
  <c r="AG347" i="27"/>
  <c r="W347" i="27"/>
  <c r="AF346" i="27"/>
  <c r="U346" i="27"/>
  <c r="Y345" i="27"/>
  <c r="AQ351" i="27"/>
  <c r="AI366" i="27"/>
  <c r="AI361" i="27"/>
  <c r="AI357" i="27"/>
  <c r="R356" i="27"/>
  <c r="AI354" i="27"/>
  <c r="R354" i="27"/>
  <c r="Q353" i="27"/>
  <c r="U351" i="27"/>
  <c r="Z350" i="27"/>
  <c r="AR348" i="27"/>
  <c r="AQ347" i="27"/>
  <c r="AO349" i="27"/>
  <c r="AN354" i="27"/>
  <c r="AN345" i="27"/>
  <c r="AM349" i="27"/>
  <c r="AL348" i="27"/>
  <c r="AK347" i="27"/>
  <c r="AI368" i="27"/>
  <c r="AG365" i="27"/>
  <c r="AI363" i="27"/>
  <c r="AH362" i="27"/>
  <c r="AG361" i="27"/>
  <c r="Q358" i="27"/>
  <c r="R357" i="27"/>
  <c r="AG356" i="27"/>
  <c r="AI355" i="27"/>
  <c r="R355" i="27"/>
  <c r="AG354" i="27"/>
  <c r="AI353" i="27"/>
  <c r="V353" i="27"/>
  <c r="AI351" i="27"/>
  <c r="W351" i="27"/>
  <c r="R351" i="27"/>
  <c r="AG350" i="27"/>
  <c r="W350" i="27"/>
  <c r="R350" i="27"/>
  <c r="AG349" i="27"/>
  <c r="W349" i="27"/>
  <c r="R349" i="27"/>
  <c r="AG348" i="27"/>
  <c r="Y348" i="27"/>
  <c r="T348" i="27"/>
  <c r="AI347" i="27"/>
  <c r="AC347" i="27"/>
  <c r="X347" i="27"/>
  <c r="S347" i="27"/>
  <c r="AG346" i="27"/>
  <c r="AB346" i="27"/>
  <c r="W346" i="27"/>
  <c r="Q346" i="27"/>
  <c r="AF345" i="27"/>
  <c r="AA345" i="27"/>
  <c r="U345" i="27"/>
  <c r="AP349" i="27"/>
  <c r="AO346" i="27"/>
  <c r="AN350" i="27"/>
  <c r="AM355" i="27"/>
  <c r="AM346" i="27"/>
  <c r="AL345" i="27"/>
  <c r="AJ370" i="27"/>
  <c r="AI364" i="27"/>
  <c r="AH363" i="27"/>
  <c r="AI358" i="27"/>
  <c r="U356" i="27"/>
  <c r="Q355" i="27"/>
  <c r="U354" i="27"/>
  <c r="U353" i="27"/>
  <c r="V351" i="27"/>
  <c r="AC350" i="27"/>
  <c r="Q350" i="27"/>
  <c r="V349" i="27"/>
  <c r="AE348" i="27"/>
  <c r="S348" i="27"/>
  <c r="AB347" i="27"/>
  <c r="Q347" i="27"/>
  <c r="AA346" i="27"/>
  <c r="AJ345" i="27"/>
  <c r="AE345" i="27"/>
  <c r="T345" i="27"/>
  <c r="AP348" i="27"/>
  <c r="AO345" i="27"/>
  <c r="AN349" i="27"/>
  <c r="AM354" i="27"/>
  <c r="AM345" i="27"/>
  <c r="AK351" i="27"/>
  <c r="AI370" i="27"/>
  <c r="AH364" i="27"/>
  <c r="AG363" i="27"/>
  <c r="AH358" i="27"/>
  <c r="AI356" i="27"/>
  <c r="AG355" i="27"/>
  <c r="AG353" i="27"/>
  <c r="AD351" i="27"/>
  <c r="AI350" i="27"/>
  <c r="U350" i="27"/>
  <c r="AI348" i="27"/>
  <c r="AF347" i="27"/>
  <c r="AE346" i="27"/>
  <c r="AC345" i="27"/>
  <c r="Z349" i="27"/>
  <c r="U347" i="27"/>
  <c r="T346" i="27"/>
  <c r="S345" i="27"/>
  <c r="Q348" i="27"/>
  <c r="AJ346" i="27"/>
  <c r="AI345" i="27"/>
  <c r="AI349" i="27"/>
  <c r="AD348" i="27"/>
  <c r="AA347" i="27"/>
  <c r="Y346" i="27"/>
  <c r="X345" i="27"/>
  <c r="W348" i="27"/>
  <c r="U349" i="27"/>
  <c r="AR310" i="27"/>
  <c r="AR306" i="27"/>
  <c r="AQ309" i="27"/>
  <c r="AP310" i="27"/>
  <c r="AP306" i="27"/>
  <c r="AO307" i="27"/>
  <c r="AN316" i="27"/>
  <c r="AN311" i="27"/>
  <c r="AN307" i="27"/>
  <c r="AM316" i="27"/>
  <c r="AM311" i="27"/>
  <c r="AM307" i="27"/>
  <c r="AL310" i="27"/>
  <c r="AL306" i="27"/>
  <c r="AK309" i="27"/>
  <c r="W310" i="27"/>
  <c r="U314" i="27"/>
  <c r="U309" i="27"/>
  <c r="AG337" i="27"/>
  <c r="AR309" i="27"/>
  <c r="AQ312" i="27"/>
  <c r="AQ308" i="27"/>
  <c r="AP309" i="27"/>
  <c r="AO310" i="27"/>
  <c r="AO306" i="27"/>
  <c r="AN315" i="27"/>
  <c r="AN310" i="27"/>
  <c r="AN306" i="27"/>
  <c r="AM315" i="27"/>
  <c r="AM310" i="27"/>
  <c r="AM306" i="27"/>
  <c r="AL309" i="27"/>
  <c r="AK312" i="27"/>
  <c r="AK308" i="27"/>
  <c r="W309" i="27"/>
  <c r="U312" i="27"/>
  <c r="T306" i="27"/>
  <c r="AG336" i="27"/>
  <c r="AR308" i="27"/>
  <c r="AQ307" i="27"/>
  <c r="AO309" i="27"/>
  <c r="AN314" i="27"/>
  <c r="AM318" i="27"/>
  <c r="AM309" i="27"/>
  <c r="AL308" i="27"/>
  <c r="AK307" i="27"/>
  <c r="U311" i="27"/>
  <c r="AG335" i="27"/>
  <c r="AG318" i="27"/>
  <c r="AG314" i="27"/>
  <c r="AG309" i="27"/>
  <c r="Q306" i="27"/>
  <c r="AR307" i="27"/>
  <c r="AQ306" i="27"/>
  <c r="AO308" i="27"/>
  <c r="AN312" i="27"/>
  <c r="AM317" i="27"/>
  <c r="AM308" i="27"/>
  <c r="AL307" i="27"/>
  <c r="AK306" i="27"/>
  <c r="U310" i="27"/>
  <c r="AG334" i="27"/>
  <c r="AG317" i="27"/>
  <c r="AG312" i="27"/>
  <c r="AG308" i="27"/>
  <c r="AR311" i="27"/>
  <c r="AP307" i="27"/>
  <c r="AN308" i="27"/>
  <c r="AL311" i="27"/>
  <c r="W307" i="27"/>
  <c r="AG319" i="27"/>
  <c r="AG310" i="27"/>
  <c r="AQ310" i="27"/>
  <c r="AM312" i="27"/>
  <c r="AJ340" i="27"/>
  <c r="AG306" i="27"/>
  <c r="AR312" i="27"/>
  <c r="AN309" i="27"/>
  <c r="W308" i="27"/>
  <c r="AG311" i="27"/>
  <c r="AQ311" i="27"/>
  <c r="AN318" i="27"/>
  <c r="AM314" i="27"/>
  <c r="AK311" i="27"/>
  <c r="S306" i="27"/>
  <c r="AG316" i="27"/>
  <c r="AG307" i="27"/>
  <c r="AN317" i="27"/>
  <c r="AK310" i="27"/>
  <c r="AG315" i="27"/>
  <c r="AP308" i="27"/>
  <c r="AL312" i="27"/>
  <c r="AG320" i="27"/>
  <c r="Q310" i="27"/>
  <c r="R316" i="27"/>
  <c r="S312" i="27"/>
  <c r="V316" i="27"/>
  <c r="Y307" i="27"/>
  <c r="AC306" i="27"/>
  <c r="AE308" i="27"/>
  <c r="AH317" i="27"/>
  <c r="AI318" i="27"/>
  <c r="AJ310" i="27"/>
  <c r="Q307" i="27"/>
  <c r="R312" i="27"/>
  <c r="S309" i="27"/>
  <c r="U316" i="27"/>
  <c r="X314" i="27"/>
  <c r="AB306" i="27"/>
  <c r="AD312" i="27"/>
  <c r="AH314" i="27"/>
  <c r="AI310" i="27"/>
  <c r="AI340" i="27"/>
  <c r="AJ320" i="27"/>
  <c r="Q317" i="27"/>
  <c r="V312" i="27"/>
  <c r="AC308" i="27"/>
  <c r="AI307" i="27"/>
  <c r="R318" i="27"/>
  <c r="U317" i="27"/>
  <c r="Y310" i="27"/>
  <c r="AH306" i="27"/>
  <c r="AI311" i="27"/>
  <c r="AI341" i="27"/>
  <c r="AJ338" i="27"/>
  <c r="Q314" i="27"/>
  <c r="Q319" i="27"/>
  <c r="U308" i="27"/>
  <c r="X306" i="27"/>
  <c r="Z308" i="27"/>
  <c r="AC309" i="27"/>
  <c r="AF307" i="27"/>
  <c r="AH320" i="27"/>
  <c r="AI317" i="27"/>
  <c r="AJ309" i="27"/>
  <c r="AJ339" i="27"/>
  <c r="T310" i="27"/>
  <c r="V310" i="27"/>
  <c r="Y311" i="27"/>
  <c r="AH308" i="27"/>
  <c r="AI339" i="27"/>
  <c r="Q316" i="27"/>
  <c r="V307" i="27"/>
  <c r="Z309" i="27"/>
  <c r="AF309" i="27"/>
  <c r="AI319" i="27"/>
  <c r="AJ341" i="27"/>
  <c r="Y306" i="27"/>
  <c r="Q312" i="27"/>
  <c r="W314" i="27"/>
  <c r="AH319" i="27"/>
  <c r="AJ317" i="27"/>
  <c r="R310" i="27"/>
  <c r="V314" i="27"/>
  <c r="AA307" i="27"/>
  <c r="AH311" i="27"/>
  <c r="AI338" i="27"/>
  <c r="R311" i="27"/>
  <c r="U315" i="27"/>
  <c r="AA308" i="27"/>
  <c r="AI314" i="27"/>
  <c r="AJ336" i="27"/>
  <c r="T311" i="27"/>
  <c r="W312" i="27"/>
  <c r="AD308" i="27"/>
  <c r="AI306" i="27"/>
  <c r="AJ316" i="27"/>
  <c r="U307" i="27"/>
  <c r="AH315" i="27"/>
  <c r="V308" i="27"/>
  <c r="AE306" i="27"/>
  <c r="AI337" i="27"/>
  <c r="Q309" i="27"/>
  <c r="S311" i="27"/>
  <c r="Z306" i="27"/>
  <c r="AE307" i="27"/>
  <c r="AI312" i="27"/>
  <c r="AJ335" i="27"/>
  <c r="Q315" i="27"/>
  <c r="R319" i="27"/>
  <c r="V306" i="27"/>
  <c r="X307" i="27"/>
  <c r="Y309" i="27"/>
  <c r="AC310" i="27"/>
  <c r="AF308" i="27"/>
  <c r="AH334" i="27"/>
  <c r="AI335" i="27"/>
  <c r="AJ315" i="27"/>
  <c r="Q311" i="27"/>
  <c r="R317" i="27"/>
  <c r="U306" i="27"/>
  <c r="V317" i="27"/>
  <c r="Z307" i="27"/>
  <c r="AC307" i="27"/>
  <c r="AE309" i="27"/>
  <c r="AH318" i="27"/>
  <c r="AI315" i="27"/>
  <c r="AJ307" i="27"/>
  <c r="AJ337" i="27"/>
  <c r="R314" i="27"/>
  <c r="W306" i="27"/>
  <c r="AD309" i="27"/>
  <c r="AJ312" i="27"/>
  <c r="T308" i="27"/>
  <c r="X309" i="27"/>
  <c r="AB307" i="27"/>
  <c r="AH310" i="27"/>
  <c r="AI316" i="27"/>
  <c r="AJ308" i="27"/>
  <c r="AJ342" i="27"/>
  <c r="Q318" i="27"/>
  <c r="T309" i="27"/>
  <c r="V309" i="27"/>
  <c r="X310" i="27"/>
  <c r="Z310" i="27"/>
  <c r="AD306" i="27"/>
  <c r="AH307" i="27"/>
  <c r="AH337" i="27"/>
  <c r="AI334" i="27"/>
  <c r="AJ314" i="27"/>
  <c r="R306" i="27"/>
  <c r="W311" i="27"/>
  <c r="AD307" i="27"/>
  <c r="AI309" i="27"/>
  <c r="AJ319" i="27"/>
  <c r="T307" i="27"/>
  <c r="X308" i="27"/>
  <c r="AC311" i="27"/>
  <c r="AH335" i="27"/>
  <c r="AJ311" i="27"/>
  <c r="T312" i="27"/>
  <c r="AF306" i="27"/>
  <c r="S310" i="27"/>
  <c r="AC312" i="27"/>
  <c r="AI320" i="27"/>
  <c r="R308" i="27"/>
  <c r="S307" i="27"/>
  <c r="X311" i="27"/>
  <c r="AD310" i="27"/>
  <c r="AI308" i="27"/>
  <c r="AJ318" i="27"/>
  <c r="S308" i="27"/>
  <c r="X312" i="27"/>
  <c r="AD311" i="27"/>
  <c r="AH312" i="27"/>
  <c r="AJ306" i="27"/>
  <c r="R307" i="27"/>
  <c r="V311" i="27"/>
  <c r="Z311" i="27"/>
  <c r="AH309" i="27"/>
  <c r="AI336" i="27"/>
  <c r="Q308" i="27"/>
  <c r="AA306" i="27"/>
  <c r="R309" i="27"/>
  <c r="Y308" i="27"/>
  <c r="AH336" i="27"/>
  <c r="AJ334" i="27"/>
  <c r="R315" i="27"/>
  <c r="V315" i="27"/>
  <c r="AB308" i="27"/>
  <c r="AH316" i="27"/>
  <c r="AI342" i="27"/>
  <c r="AN184" i="27"/>
  <c r="AH184" i="27"/>
  <c r="R184" i="27"/>
  <c r="AM184" i="27"/>
  <c r="AG184" i="27"/>
  <c r="Q184" i="27"/>
  <c r="AJ184" i="27"/>
  <c r="V184" i="27"/>
  <c r="AI184" i="27"/>
  <c r="U184" i="27"/>
  <c r="AJ187" i="27"/>
  <c r="AI187" i="27"/>
  <c r="AH187" i="27"/>
  <c r="AG187" i="27"/>
  <c r="AN229" i="27"/>
  <c r="S229" i="27"/>
  <c r="AQ202" i="27"/>
  <c r="AJ293" i="27"/>
  <c r="Q265" i="27"/>
  <c r="AG242" i="27"/>
  <c r="V238" i="27"/>
  <c r="Z228" i="27"/>
  <c r="AG218" i="27"/>
  <c r="X199" i="27"/>
  <c r="S282" i="27"/>
  <c r="Y204" i="27"/>
  <c r="Z177" i="27"/>
  <c r="AH256" i="27"/>
  <c r="AJ233" i="27"/>
  <c r="AQ234" i="27"/>
  <c r="AG266" i="27"/>
  <c r="V256" i="27"/>
  <c r="AN286" i="27"/>
  <c r="Q182" i="27"/>
  <c r="AK173" i="27"/>
  <c r="AM173" i="27"/>
  <c r="Q173" i="27"/>
  <c r="AG216" i="27"/>
  <c r="R290" i="27"/>
  <c r="T178" i="27"/>
  <c r="AH246" i="27"/>
  <c r="AP200" i="27"/>
  <c r="AJ263" i="27"/>
  <c r="AJ191" i="27"/>
  <c r="AL231" i="27"/>
  <c r="AQ282" i="27"/>
  <c r="AG256" i="27"/>
  <c r="AD178" i="27"/>
  <c r="AM239" i="27"/>
  <c r="AH204" i="27"/>
  <c r="AQ261" i="27"/>
  <c r="S173" i="27"/>
  <c r="W206" i="27"/>
  <c r="T231" i="27"/>
  <c r="AM183" i="27"/>
  <c r="AI305" i="27"/>
  <c r="AD179" i="27"/>
  <c r="Z256" i="27"/>
  <c r="AM292" i="27"/>
  <c r="AG240" i="27"/>
  <c r="AI264" i="27"/>
  <c r="AR205" i="27"/>
  <c r="AI248" i="27"/>
  <c r="AL255" i="27"/>
  <c r="AP173" i="27"/>
  <c r="AA282" i="27"/>
  <c r="W201" i="27"/>
  <c r="Z200" i="27"/>
  <c r="AJ225" i="27"/>
  <c r="V284" i="27"/>
  <c r="X229" i="27"/>
  <c r="Y260" i="27"/>
  <c r="W261" i="27"/>
  <c r="AH267" i="27"/>
  <c r="AI297" i="27"/>
  <c r="R283" i="27"/>
  <c r="AI203" i="27"/>
  <c r="W199" i="27"/>
  <c r="AH202" i="27"/>
  <c r="AH208" i="27"/>
  <c r="AK286" i="27"/>
  <c r="AG182" i="27"/>
  <c r="T181" i="27"/>
  <c r="AO283" i="27"/>
  <c r="Y174" i="27"/>
  <c r="R240" i="27"/>
  <c r="V180" i="27"/>
  <c r="V200" i="27"/>
  <c r="AL201" i="27"/>
  <c r="Y255" i="27"/>
  <c r="AC233" i="27"/>
  <c r="AC229" i="27"/>
  <c r="Q261" i="27"/>
  <c r="AQ177" i="27"/>
  <c r="AH294" i="27"/>
  <c r="V281" i="27"/>
  <c r="W178" i="27"/>
  <c r="AI285" i="27"/>
  <c r="Z178" i="27"/>
  <c r="AD230" i="27"/>
  <c r="V255" i="27"/>
  <c r="Z282" i="27"/>
  <c r="S179" i="27"/>
  <c r="AI189" i="27"/>
  <c r="AN258" i="27"/>
  <c r="T201" i="27"/>
  <c r="U207" i="27"/>
  <c r="AH237" i="27"/>
  <c r="Q175" i="27"/>
  <c r="R257" i="27"/>
  <c r="AD284" i="27"/>
  <c r="T287" i="27"/>
  <c r="AJ195" i="27"/>
  <c r="Q235" i="27"/>
  <c r="AH290" i="27"/>
  <c r="AG179" i="27"/>
  <c r="V288" i="27"/>
  <c r="S281" i="27"/>
  <c r="AN174" i="27"/>
  <c r="AL284" i="27"/>
  <c r="AJ298" i="27"/>
  <c r="U255" i="27"/>
  <c r="AM181" i="27"/>
  <c r="W282" i="27"/>
  <c r="Q176" i="27"/>
  <c r="AO173" i="27"/>
  <c r="AK233" i="27"/>
  <c r="AB174" i="27"/>
  <c r="AR256" i="27"/>
  <c r="AJ275" i="27"/>
  <c r="AE201" i="27"/>
  <c r="AI284" i="27"/>
  <c r="U205" i="27"/>
  <c r="T228" i="27"/>
  <c r="AH207" i="27"/>
  <c r="AI240" i="27"/>
  <c r="AN200" i="27"/>
  <c r="AG289" i="27"/>
  <c r="AI214" i="27"/>
  <c r="AG209" i="27"/>
  <c r="AO259" i="27"/>
  <c r="AM262" i="27"/>
  <c r="AA201" i="27"/>
  <c r="Y175" i="27"/>
  <c r="AJ177" i="27"/>
  <c r="AQ174" i="27"/>
  <c r="AJ231" i="27"/>
  <c r="Y178" i="27"/>
  <c r="AI298" i="27"/>
  <c r="AI202" i="27"/>
  <c r="AI195" i="27"/>
  <c r="AM264" i="27"/>
  <c r="AG176" i="27"/>
  <c r="AK199" i="27"/>
  <c r="Z229" i="27"/>
  <c r="Z255" i="27"/>
  <c r="AM174" i="27"/>
  <c r="AD228" i="27"/>
  <c r="AB200" i="27"/>
  <c r="AM282" i="27"/>
  <c r="W288" i="27"/>
  <c r="Y203" i="27"/>
  <c r="AI199" i="27"/>
  <c r="AG238" i="27"/>
  <c r="AN230" i="27"/>
  <c r="V235" i="27"/>
  <c r="AR204" i="27"/>
  <c r="AR175" i="27"/>
  <c r="T263" i="27"/>
  <c r="AI239" i="27"/>
  <c r="AJ185" i="27"/>
  <c r="T207" i="27"/>
  <c r="AH268" i="27"/>
  <c r="Q285" i="27"/>
  <c r="AH296" i="27"/>
  <c r="AC202" i="27"/>
  <c r="AC256" i="27"/>
  <c r="AF174" i="27"/>
  <c r="X255" i="27"/>
  <c r="T284" i="27"/>
  <c r="AR199" i="27"/>
  <c r="AJ290" i="27"/>
  <c r="AG244" i="27"/>
  <c r="AI255" i="27"/>
  <c r="AP230" i="27"/>
  <c r="S206" i="27"/>
  <c r="AF282" i="27"/>
  <c r="U283" i="27"/>
  <c r="AR260" i="27"/>
  <c r="S202" i="27"/>
  <c r="W233" i="27"/>
  <c r="AI204" i="27"/>
  <c r="AH240" i="27"/>
  <c r="AR284" i="27"/>
  <c r="U264" i="27"/>
  <c r="R228" i="27"/>
  <c r="AL174" i="27"/>
  <c r="U180" i="27"/>
  <c r="AI261" i="27"/>
  <c r="AJ253" i="27"/>
  <c r="AI301" i="27"/>
  <c r="AD282" i="27"/>
  <c r="AN206" i="27"/>
  <c r="AD231" i="27"/>
  <c r="V233" i="27"/>
  <c r="Q292" i="27"/>
  <c r="T289" i="27"/>
  <c r="R258" i="27"/>
  <c r="Q177" i="27"/>
  <c r="AM207" i="27"/>
  <c r="Q232" i="27"/>
  <c r="T204" i="27"/>
  <c r="Q259" i="27"/>
  <c r="R238" i="27"/>
  <c r="AR233" i="27"/>
  <c r="AL202" i="27"/>
  <c r="T202" i="27"/>
  <c r="Y285" i="27"/>
  <c r="AJ238" i="27"/>
  <c r="AJ174" i="27"/>
  <c r="AI249" i="27"/>
  <c r="R200" i="27"/>
  <c r="AQ178" i="27"/>
  <c r="AN180" i="27"/>
  <c r="AK200" i="27"/>
  <c r="S205" i="27"/>
  <c r="AH218" i="27"/>
  <c r="R256" i="27"/>
  <c r="AF283" i="27"/>
  <c r="AD258" i="27"/>
  <c r="AJ197" i="27"/>
  <c r="W177" i="27"/>
  <c r="Y283" i="27"/>
  <c r="R207" i="27"/>
  <c r="S232" i="27"/>
  <c r="T258" i="27"/>
  <c r="R180" i="27"/>
  <c r="AM260" i="27"/>
  <c r="Y231" i="27"/>
  <c r="AJ264" i="27"/>
  <c r="S228" i="27"/>
  <c r="AG241" i="27"/>
  <c r="R281" i="27"/>
  <c r="AI209" i="27"/>
  <c r="Q180" i="27"/>
  <c r="AN183" i="27"/>
  <c r="AH230" i="27"/>
  <c r="AI247" i="27"/>
  <c r="S258" i="27"/>
  <c r="AJ241" i="27"/>
  <c r="AG185" i="27"/>
  <c r="AL283" i="27"/>
  <c r="AH203" i="27"/>
  <c r="AJ224" i="27"/>
  <c r="AJ277" i="27"/>
  <c r="Z259" i="27"/>
  <c r="AG233" i="27"/>
  <c r="AH186" i="27"/>
  <c r="AC259" i="27"/>
  <c r="AC234" i="27"/>
  <c r="AJ234" i="27"/>
  <c r="AG237" i="27"/>
  <c r="AL258" i="27"/>
  <c r="AI188" i="27"/>
  <c r="Q178" i="27"/>
  <c r="AH234" i="27"/>
  <c r="AJ301" i="27"/>
  <c r="AN204" i="27"/>
  <c r="AM237" i="27"/>
  <c r="AN209" i="27"/>
  <c r="W255" i="27"/>
  <c r="AM206" i="27"/>
  <c r="AG283" i="27"/>
  <c r="T259" i="27"/>
  <c r="X204" i="27"/>
  <c r="AH282" i="27"/>
  <c r="AP201" i="27"/>
  <c r="S289" i="27"/>
  <c r="Q228" i="27"/>
  <c r="T174" i="27"/>
  <c r="AI185" i="27"/>
  <c r="AI265" i="27"/>
  <c r="V182" i="27"/>
  <c r="S259" i="27"/>
  <c r="Z260" i="27"/>
  <c r="R179" i="27"/>
  <c r="AO231" i="27"/>
  <c r="AN260" i="27"/>
  <c r="V262" i="27"/>
  <c r="AJ207" i="27"/>
  <c r="AD174" i="27"/>
  <c r="AA229" i="27"/>
  <c r="AI262" i="27"/>
  <c r="AN177" i="27"/>
  <c r="AM290" i="27"/>
  <c r="AO202" i="27"/>
  <c r="AF229" i="27"/>
  <c r="V291" i="27"/>
  <c r="AH297" i="27"/>
  <c r="Y229" i="27"/>
  <c r="AO203" i="27"/>
  <c r="AE174" i="27"/>
  <c r="V181" i="27"/>
  <c r="AH262" i="27"/>
  <c r="U228" i="27"/>
  <c r="R239" i="27"/>
  <c r="AM258" i="27"/>
  <c r="AG188" i="27"/>
  <c r="AJ273" i="27"/>
  <c r="AF257" i="27"/>
  <c r="W202" i="27"/>
  <c r="Z286" i="27"/>
  <c r="AN173" i="27"/>
  <c r="AH293" i="27"/>
  <c r="S260" i="27"/>
  <c r="Q200" i="27"/>
  <c r="AL229" i="27"/>
  <c r="AJ255" i="27"/>
  <c r="AR177" i="27"/>
  <c r="R229" i="27"/>
  <c r="AQ176" i="27"/>
  <c r="AH283" i="27"/>
  <c r="X235" i="27"/>
  <c r="V174" i="27"/>
  <c r="AJ287" i="27"/>
  <c r="AG258" i="27"/>
  <c r="AK229" i="27"/>
  <c r="AK201" i="27"/>
  <c r="AH291" i="27"/>
  <c r="AH200" i="27"/>
  <c r="AH288" i="27"/>
  <c r="AH235" i="27"/>
  <c r="AI289" i="27"/>
  <c r="AQ281" i="27"/>
  <c r="V234" i="27"/>
  <c r="AG269" i="27"/>
  <c r="AQ229" i="27"/>
  <c r="V203" i="27"/>
  <c r="AG292" i="27"/>
  <c r="AD205" i="27"/>
  <c r="AM209" i="27"/>
  <c r="AK231" i="27"/>
  <c r="AC201" i="27"/>
  <c r="AC177" i="27"/>
  <c r="AG190" i="27"/>
  <c r="AG175" i="27"/>
  <c r="AQ200" i="27"/>
  <c r="AI191" i="27"/>
  <c r="AO281" i="27"/>
  <c r="AM259" i="27"/>
  <c r="Z203" i="27"/>
  <c r="W230" i="27"/>
  <c r="AC178" i="27"/>
  <c r="AC173" i="27"/>
  <c r="Y228" i="27"/>
  <c r="AD260" i="27"/>
  <c r="AK255" i="27"/>
  <c r="AH215" i="27"/>
  <c r="AG204" i="27"/>
  <c r="AR176" i="27"/>
  <c r="AM289" i="27"/>
  <c r="AI278" i="27"/>
  <c r="AQ287" i="27"/>
  <c r="V283" i="27"/>
  <c r="S283" i="27"/>
  <c r="U238" i="27"/>
  <c r="AH243" i="27"/>
  <c r="AM238" i="27"/>
  <c r="AJ268" i="27"/>
  <c r="AG246" i="27"/>
  <c r="U232" i="27"/>
  <c r="AI283" i="27"/>
  <c r="Z201" i="27"/>
  <c r="AC231" i="27"/>
  <c r="AC204" i="27"/>
  <c r="AI190" i="27"/>
  <c r="AG189" i="27"/>
  <c r="AM234" i="27"/>
  <c r="X232" i="27"/>
  <c r="X179" i="27"/>
  <c r="AO201" i="27"/>
  <c r="AR234" i="27"/>
  <c r="W174" i="27"/>
  <c r="R233" i="27"/>
  <c r="W235" i="27"/>
  <c r="AE229" i="27"/>
  <c r="AH191" i="27"/>
  <c r="AL203" i="27"/>
  <c r="X284" i="27"/>
  <c r="Y284" i="27"/>
  <c r="AI177" i="27"/>
  <c r="Q237" i="27"/>
  <c r="AJ247" i="27"/>
  <c r="AD287" i="27"/>
  <c r="AC282" i="27"/>
  <c r="AJ294" i="27"/>
  <c r="AJ235" i="27"/>
  <c r="S203" i="27"/>
  <c r="AB255" i="27"/>
  <c r="AM231" i="27"/>
  <c r="AF230" i="27"/>
  <c r="AI287" i="27"/>
  <c r="AN203" i="27"/>
  <c r="AI228" i="27"/>
  <c r="U204" i="27"/>
  <c r="AG260" i="27"/>
  <c r="AN292" i="27"/>
  <c r="AH232" i="27"/>
  <c r="AJ254" i="27"/>
  <c r="S207" i="27"/>
  <c r="S235" i="27"/>
  <c r="AN175" i="27"/>
  <c r="Y199" i="27"/>
  <c r="R235" i="27"/>
  <c r="Y233" i="27"/>
  <c r="T286" i="27"/>
  <c r="AI217" i="27"/>
  <c r="AE173" i="27"/>
  <c r="V177" i="27"/>
  <c r="AM178" i="27"/>
  <c r="AN284" i="27"/>
  <c r="AI244" i="27"/>
  <c r="AJ251" i="27"/>
  <c r="R173" i="27"/>
  <c r="AI295" i="27"/>
  <c r="Y230" i="27"/>
  <c r="AG290" i="27"/>
  <c r="AQ258" i="27"/>
  <c r="AK230" i="27"/>
  <c r="AK283" i="27"/>
  <c r="AG217" i="27"/>
  <c r="AI299" i="27"/>
  <c r="U290" i="27"/>
  <c r="R174" i="27"/>
  <c r="AC257" i="27"/>
  <c r="AJ178" i="27"/>
  <c r="AI206" i="27"/>
  <c r="U209" i="27"/>
  <c r="W200" i="27"/>
  <c r="AH185" i="27"/>
  <c r="AL260" i="27"/>
  <c r="R289" i="27"/>
  <c r="AO175" i="27"/>
  <c r="AI224" i="27"/>
  <c r="R201" i="27"/>
  <c r="AJ291" i="27"/>
  <c r="AH242" i="27"/>
  <c r="AJ202" i="27"/>
  <c r="AC203" i="27"/>
  <c r="AC199" i="27"/>
  <c r="Q208" i="27"/>
  <c r="AI197" i="27"/>
  <c r="AE200" i="27"/>
  <c r="X286" i="27"/>
  <c r="AD199" i="27"/>
  <c r="AJ292" i="27"/>
  <c r="AQ203" i="27"/>
  <c r="AI271" i="27"/>
  <c r="AH286" i="27"/>
  <c r="AK232" i="27"/>
  <c r="Z199" i="27"/>
  <c r="T180" i="27"/>
  <c r="AJ249" i="27"/>
  <c r="AF281" i="27"/>
  <c r="X201" i="27"/>
  <c r="Q290" i="27"/>
  <c r="AB256" i="27"/>
  <c r="Q174" i="27"/>
  <c r="AG231" i="27"/>
  <c r="AC174" i="27"/>
  <c r="AC284" i="27"/>
  <c r="V285" i="27"/>
  <c r="R176" i="27"/>
  <c r="AO229" i="27"/>
  <c r="V209" i="27"/>
  <c r="AB173" i="27"/>
  <c r="AH269" i="27"/>
  <c r="X231" i="27"/>
  <c r="W259" i="27"/>
  <c r="AI276" i="27"/>
  <c r="AI233" i="27"/>
  <c r="Q234" i="27"/>
  <c r="AI235" i="27"/>
  <c r="AP257" i="27"/>
  <c r="Y177" i="27"/>
  <c r="Q260" i="27"/>
  <c r="U258" i="27"/>
  <c r="AJ221" i="27"/>
  <c r="AQ199" i="27"/>
  <c r="U208" i="27"/>
  <c r="AC258" i="27"/>
  <c r="AN202" i="27"/>
  <c r="T260" i="27"/>
  <c r="AG228" i="27"/>
  <c r="AM200" i="27"/>
  <c r="AN237" i="27"/>
  <c r="W229" i="27"/>
  <c r="AD200" i="27"/>
  <c r="AN176" i="27"/>
  <c r="AH298" i="27"/>
  <c r="AI303" i="27"/>
  <c r="U282" i="27"/>
  <c r="V257" i="27"/>
  <c r="AB228" i="27"/>
  <c r="AJ257" i="27"/>
  <c r="AJ271" i="27"/>
  <c r="AQ232" i="27"/>
  <c r="V261" i="27"/>
  <c r="AN234" i="27"/>
  <c r="V183" i="27"/>
  <c r="AG206" i="27"/>
  <c r="AC205" i="27"/>
  <c r="Q202" i="27"/>
  <c r="AH258" i="27"/>
  <c r="AJ250" i="27"/>
  <c r="AB201" i="27"/>
  <c r="AJ201" i="27"/>
  <c r="AG284" i="27"/>
  <c r="AO257" i="27"/>
  <c r="AI252" i="27"/>
  <c r="AG265" i="27"/>
  <c r="AM261" i="27"/>
  <c r="AJ179" i="27"/>
  <c r="T288" i="27"/>
  <c r="T285" i="27"/>
  <c r="X200" i="27"/>
  <c r="S178" i="27"/>
  <c r="AC287" i="27"/>
  <c r="AC285" i="27"/>
  <c r="AC232" i="27"/>
  <c r="AJ218" i="27"/>
  <c r="AP231" i="27"/>
  <c r="AJ242" i="27"/>
  <c r="AI275" i="27"/>
  <c r="Y257" i="27"/>
  <c r="AE281" i="27"/>
  <c r="AL175" i="27"/>
  <c r="W284" i="27"/>
  <c r="U237" i="27"/>
  <c r="AQ204" i="27"/>
  <c r="AI215" i="27"/>
  <c r="AJ283" i="27"/>
  <c r="AF175" i="27"/>
  <c r="Q289" i="27"/>
  <c r="AM285" i="27"/>
  <c r="X228" i="27"/>
  <c r="AG259" i="27"/>
  <c r="AO228" i="27"/>
  <c r="AI180" i="27"/>
  <c r="AC260" i="27"/>
  <c r="AC176" i="27"/>
  <c r="AJ194" i="27"/>
  <c r="U199" i="27"/>
  <c r="U286" i="27"/>
  <c r="AN287" i="27"/>
  <c r="Q207" i="27"/>
  <c r="AP177" i="27"/>
  <c r="AH205" i="27"/>
  <c r="AG247" i="27"/>
  <c r="T237" i="27"/>
  <c r="Z281" i="27"/>
  <c r="U288" i="27"/>
  <c r="Z231" i="27"/>
  <c r="AJ223" i="27"/>
  <c r="AD173" i="27"/>
  <c r="AI192" i="27"/>
  <c r="AG234" i="27"/>
  <c r="AI259" i="27"/>
  <c r="AF200" i="27"/>
  <c r="AM240" i="27"/>
  <c r="AC175" i="27"/>
  <c r="W232" i="27"/>
  <c r="AI243" i="27"/>
  <c r="AB229" i="27"/>
  <c r="R214" i="27"/>
  <c r="W262" i="27"/>
  <c r="AJ227" i="27"/>
  <c r="AB282" i="27"/>
  <c r="Q281" i="27"/>
  <c r="AB199" i="27"/>
  <c r="T176" i="27"/>
  <c r="AJ180" i="27"/>
  <c r="V286" i="27"/>
  <c r="T199" i="27"/>
  <c r="X175" i="27"/>
  <c r="AA200" i="27"/>
  <c r="AH209" i="27"/>
  <c r="AI253" i="27"/>
  <c r="R204" i="27"/>
  <c r="AD229" i="27"/>
  <c r="AN214" i="27"/>
  <c r="AC200" i="27"/>
  <c r="AG200" i="27"/>
  <c r="T200" i="27"/>
  <c r="W180" i="27"/>
  <c r="AJ205" i="27"/>
  <c r="AI254" i="27"/>
  <c r="AJ278" i="27"/>
  <c r="AL200" i="27"/>
  <c r="AM176" i="27"/>
  <c r="AL232" i="27"/>
  <c r="AJ215" i="27"/>
  <c r="AH285" i="27"/>
  <c r="AG205" i="27"/>
  <c r="AJ203" i="27"/>
  <c r="AL286" i="27"/>
  <c r="AI222" i="27"/>
  <c r="AQ233" i="27"/>
  <c r="R282" i="27"/>
  <c r="AH241" i="27"/>
  <c r="U289" i="27"/>
  <c r="Q255" i="27"/>
  <c r="AC255" i="27"/>
  <c r="AC230" i="27"/>
  <c r="AJ190" i="27"/>
  <c r="AJ274" i="27"/>
  <c r="AF201" i="27"/>
  <c r="S175" i="27"/>
  <c r="AG220" i="27"/>
  <c r="AP282" i="27"/>
  <c r="AB230" i="27"/>
  <c r="AN205" i="27"/>
  <c r="AJ226" i="27"/>
  <c r="AM229" i="27"/>
  <c r="AH238" i="27"/>
  <c r="AI269" i="27"/>
  <c r="AD177" i="27"/>
  <c r="V205" i="27"/>
  <c r="AN257" i="27"/>
  <c r="X262" i="27"/>
  <c r="AM256" i="27"/>
  <c r="S234" i="27"/>
  <c r="X173" i="27"/>
  <c r="AC286" i="27"/>
  <c r="AC281" i="27"/>
  <c r="AC179" i="27"/>
  <c r="T230" i="27"/>
  <c r="AP256" i="27"/>
  <c r="V204" i="27"/>
  <c r="AI201" i="27"/>
  <c r="AR203" i="27"/>
  <c r="AR281" i="27"/>
  <c r="AR259" i="27"/>
  <c r="Y201" i="27"/>
  <c r="AL285" i="27"/>
  <c r="AG219" i="27"/>
  <c r="Q286" i="27"/>
  <c r="V199" i="27"/>
  <c r="T261" i="27"/>
  <c r="AK228" i="27"/>
  <c r="R202" i="27"/>
  <c r="AB283" i="27"/>
  <c r="R232" i="27"/>
  <c r="AD255" i="27"/>
  <c r="AH179" i="27"/>
  <c r="R182" i="27"/>
  <c r="Y259" i="27"/>
  <c r="AP258" i="27"/>
  <c r="AI304" i="27"/>
  <c r="AJ299" i="27"/>
  <c r="AR285" i="27"/>
  <c r="AI277" i="27"/>
  <c r="AR287" i="27"/>
  <c r="AB281" i="27"/>
  <c r="AN265" i="27"/>
  <c r="U257" i="27"/>
  <c r="U287" i="27"/>
  <c r="Q239" i="27"/>
  <c r="AI302" i="27"/>
  <c r="AN231" i="27"/>
  <c r="AM281" i="27"/>
  <c r="AM202" i="27"/>
  <c r="AI231" i="27"/>
  <c r="AI186" i="27"/>
  <c r="AJ181" i="27"/>
  <c r="X257" i="27"/>
  <c r="AH190" i="27"/>
  <c r="AH201" i="27"/>
  <c r="AJ243" i="27"/>
  <c r="S231" i="27"/>
  <c r="U284" i="27"/>
  <c r="Q229" i="27"/>
  <c r="AI293" i="27"/>
  <c r="X259" i="27"/>
  <c r="V202" i="27"/>
  <c r="R260" i="27"/>
  <c r="AE255" i="27"/>
  <c r="AD204" i="27"/>
  <c r="X176" i="27"/>
  <c r="R231" i="27"/>
  <c r="AJ258" i="27"/>
  <c r="AN259" i="27"/>
  <c r="AK282" i="27"/>
  <c r="AD176" i="27"/>
  <c r="AI286" i="27"/>
  <c r="AI218" i="27"/>
  <c r="AI260" i="27"/>
  <c r="U230" i="27"/>
  <c r="AI174" i="27"/>
  <c r="AB257" i="27"/>
  <c r="T257" i="27"/>
  <c r="R263" i="27"/>
  <c r="T203" i="27"/>
  <c r="AH199" i="27"/>
  <c r="Q287" i="27"/>
  <c r="AD281" i="27"/>
  <c r="T256" i="27"/>
  <c r="AC228" i="27"/>
  <c r="AI179" i="27"/>
  <c r="R259" i="27"/>
  <c r="X177" i="27"/>
  <c r="AJ237" i="27"/>
  <c r="AJ252" i="27"/>
  <c r="AO255" i="27"/>
  <c r="T175" i="27"/>
  <c r="AM284" i="27"/>
  <c r="AO199" i="27"/>
  <c r="W175" i="27"/>
  <c r="AJ222" i="27"/>
  <c r="AI196" i="27"/>
  <c r="AJ248" i="27"/>
  <c r="AJ289" i="27"/>
  <c r="S180" i="27"/>
  <c r="U234" i="27"/>
  <c r="AI282" i="27"/>
  <c r="AI178" i="27"/>
  <c r="AG294" i="27"/>
  <c r="T206" i="27"/>
  <c r="AP203" i="27"/>
  <c r="AO200" i="27"/>
  <c r="AG202" i="27"/>
  <c r="AH289" i="27"/>
  <c r="AH265" i="27"/>
  <c r="R287" i="27"/>
  <c r="AM214" i="27"/>
  <c r="AK178" i="27"/>
  <c r="AD259" i="27"/>
  <c r="AI250" i="27"/>
  <c r="Q262" i="27"/>
  <c r="AJ206" i="27"/>
  <c r="X258" i="27"/>
  <c r="AM266" i="27"/>
  <c r="AG235" i="27"/>
  <c r="AL256" i="27"/>
  <c r="AK281" i="27"/>
  <c r="AM208" i="27"/>
  <c r="AI280" i="27"/>
  <c r="AK175" i="27"/>
  <c r="Q199" i="27"/>
  <c r="AA174" i="27"/>
  <c r="AR231" i="27"/>
  <c r="AJ265" i="27"/>
  <c r="AK204" i="27"/>
  <c r="AQ286" i="27"/>
  <c r="Z174" i="27"/>
  <c r="AG262" i="27"/>
  <c r="AJ228" i="27"/>
  <c r="AI216" i="27"/>
  <c r="AR282" i="27"/>
  <c r="AN281" i="27"/>
  <c r="AI251" i="27"/>
  <c r="V282" i="27"/>
  <c r="V289" i="27"/>
  <c r="AD203" i="27"/>
  <c r="Z176" i="27"/>
  <c r="AI294" i="27"/>
  <c r="AQ205" i="27"/>
  <c r="AG243" i="27"/>
  <c r="AN235" i="27"/>
  <c r="AG297" i="27"/>
  <c r="AN290" i="27"/>
  <c r="R261" i="27"/>
  <c r="AG191" i="27"/>
  <c r="AJ266" i="27"/>
  <c r="AP176" i="27"/>
  <c r="Q203" i="27"/>
  <c r="U291" i="27"/>
  <c r="AM288" i="27"/>
  <c r="Z233" i="27"/>
  <c r="AG180" i="27"/>
  <c r="AG203" i="27"/>
  <c r="X287" i="27"/>
  <c r="T233" i="27"/>
  <c r="AJ284" i="27"/>
  <c r="AI194" i="27"/>
  <c r="AI273" i="27"/>
  <c r="AJ305" i="27"/>
  <c r="Y281" i="27"/>
  <c r="AC261" i="27"/>
  <c r="Q291" i="27"/>
  <c r="S230" i="27"/>
  <c r="AK202" i="27"/>
  <c r="W258" i="27"/>
  <c r="AL173" i="27"/>
  <c r="AI238" i="27"/>
  <c r="AD202" i="27"/>
  <c r="AQ284" i="27"/>
  <c r="AG263" i="27"/>
  <c r="S288" i="27"/>
  <c r="AJ192" i="27"/>
  <c r="AI292" i="27"/>
  <c r="Q238" i="27"/>
  <c r="AG183" i="27"/>
  <c r="AJ244" i="27"/>
  <c r="R264" i="27"/>
  <c r="AF256" i="27"/>
  <c r="AP202" i="27"/>
  <c r="AR283" i="27"/>
  <c r="AN255" i="27"/>
  <c r="AN239" i="27"/>
  <c r="AH255" i="27"/>
  <c r="AN199" i="27"/>
  <c r="AG291" i="27"/>
  <c r="AJ259" i="27"/>
  <c r="Q240" i="27"/>
  <c r="T232" i="27"/>
  <c r="R286" i="27"/>
  <c r="AK257" i="27"/>
  <c r="AG232" i="27"/>
  <c r="AA230" i="27"/>
  <c r="X260" i="27"/>
  <c r="Y176" i="27"/>
  <c r="Q263" i="27"/>
  <c r="U183" i="27"/>
  <c r="V176" i="27"/>
  <c r="U260" i="27"/>
  <c r="AG273" i="27"/>
  <c r="AM175" i="27"/>
  <c r="AJ189" i="27"/>
  <c r="AM265" i="27"/>
  <c r="AI200" i="27"/>
  <c r="AJ300" i="27"/>
  <c r="V228" i="27"/>
  <c r="V208" i="27"/>
  <c r="S237" i="27"/>
  <c r="S263" i="27"/>
  <c r="AJ281" i="27"/>
  <c r="U263" i="27"/>
  <c r="AN266" i="27"/>
  <c r="AR257" i="27"/>
  <c r="R230" i="27"/>
  <c r="AI176" i="27"/>
  <c r="AR232" i="27"/>
  <c r="AM230" i="27"/>
  <c r="AO284" i="27"/>
  <c r="AP175" i="27"/>
  <c r="AJ216" i="27"/>
  <c r="AP281" i="27"/>
  <c r="U262" i="27"/>
  <c r="W176" i="27"/>
  <c r="AN207" i="27"/>
  <c r="W228" i="27"/>
  <c r="AN181" i="27"/>
  <c r="AP259" i="27"/>
  <c r="V287" i="27"/>
  <c r="S262" i="27"/>
  <c r="V290" i="27"/>
  <c r="Q181" i="27"/>
  <c r="V258" i="27"/>
  <c r="AQ255" i="27"/>
  <c r="R175" i="27"/>
  <c r="AI266" i="27"/>
  <c r="R206" i="27"/>
  <c r="AH257" i="27"/>
  <c r="AG285" i="27"/>
  <c r="T255" i="27"/>
  <c r="AM180" i="27"/>
  <c r="R178" i="27"/>
  <c r="AO176" i="27"/>
  <c r="AQ201" i="27"/>
  <c r="AJ173" i="27"/>
  <c r="AJ297" i="27"/>
  <c r="AH273" i="27"/>
  <c r="AJ272" i="27"/>
  <c r="AR261" i="27"/>
  <c r="AI232" i="27"/>
  <c r="AQ175" i="27"/>
  <c r="AI281" i="27"/>
  <c r="AK259" i="27"/>
  <c r="Y232" i="27"/>
  <c r="AL177" i="27"/>
  <c r="AH264" i="27"/>
  <c r="T262" i="27"/>
  <c r="AK258" i="27"/>
  <c r="AD175" i="27"/>
  <c r="AL199" i="27"/>
  <c r="AR178" i="27"/>
  <c r="T179" i="27"/>
  <c r="AM203" i="27"/>
  <c r="AH206" i="27"/>
  <c r="Q282" i="27"/>
  <c r="AI183" i="27"/>
  <c r="AK174" i="27"/>
  <c r="AH180" i="27"/>
  <c r="AH259" i="27"/>
  <c r="AJ229" i="27"/>
  <c r="AJ183" i="27"/>
  <c r="AD283" i="27"/>
  <c r="AK260" i="27"/>
  <c r="AI300" i="27"/>
  <c r="AH183" i="27"/>
  <c r="Q257" i="27"/>
  <c r="Q231" i="27"/>
  <c r="AJ188" i="27"/>
  <c r="AR173" i="27"/>
  <c r="AJ286" i="27"/>
  <c r="AJ296" i="27"/>
  <c r="AL230" i="27"/>
  <c r="U261" i="27"/>
  <c r="AG286" i="27"/>
  <c r="AL178" i="27"/>
  <c r="W260" i="27"/>
  <c r="AA255" i="27"/>
  <c r="AR229" i="27"/>
  <c r="AA256" i="27"/>
  <c r="AH281" i="27"/>
  <c r="AA228" i="27"/>
  <c r="V201" i="27"/>
  <c r="AI193" i="27"/>
  <c r="AH271" i="27"/>
  <c r="AI290" i="27"/>
  <c r="U181" i="27"/>
  <c r="AH266" i="27"/>
  <c r="AQ173" i="27"/>
  <c r="AF228" i="27"/>
  <c r="X202" i="27"/>
  <c r="U200" i="27"/>
  <c r="AM283" i="27"/>
  <c r="AA175" i="27"/>
  <c r="AG271" i="27"/>
  <c r="AC283" i="27"/>
  <c r="AI263" i="27"/>
  <c r="AD285" i="27"/>
  <c r="AH178" i="27"/>
  <c r="AG239" i="27"/>
  <c r="X234" i="27"/>
  <c r="T234" i="27"/>
  <c r="AH175" i="27"/>
  <c r="AG201" i="27"/>
  <c r="T281" i="27"/>
  <c r="X174" i="27"/>
  <c r="AQ285" i="27"/>
  <c r="AM233" i="27"/>
  <c r="AH188" i="27"/>
  <c r="R234" i="27"/>
  <c r="AQ230" i="27"/>
  <c r="AG207" i="27"/>
  <c r="AI279" i="27"/>
  <c r="AQ231" i="27"/>
  <c r="AP255" i="27"/>
  <c r="AF173" i="27"/>
  <c r="AG174" i="27"/>
  <c r="Z173" i="27"/>
  <c r="AR174" i="27"/>
  <c r="AG293" i="27"/>
  <c r="AH174" i="27"/>
  <c r="AI223" i="27"/>
  <c r="AP229" i="27"/>
  <c r="U179" i="27"/>
  <c r="T173" i="27"/>
  <c r="Q214" i="27"/>
  <c r="AM291" i="27"/>
  <c r="AI296" i="27"/>
  <c r="Y258" i="27"/>
  <c r="AO256" i="27"/>
  <c r="AN232" i="27"/>
  <c r="AD232" i="27"/>
  <c r="AE175" i="27"/>
  <c r="AH239" i="27"/>
  <c r="AG287" i="27"/>
  <c r="S284" i="27"/>
  <c r="AJ209" i="27"/>
  <c r="X256" i="27"/>
  <c r="AK203" i="27"/>
  <c r="AO174" i="27"/>
  <c r="AN285" i="27"/>
  <c r="AE228" i="27"/>
  <c r="AJ199" i="27"/>
  <c r="AN291" i="27"/>
  <c r="AH233" i="27"/>
  <c r="AJ256" i="27"/>
  <c r="AH272" i="27"/>
  <c r="Q179" i="27"/>
  <c r="AB175" i="27"/>
  <c r="AJ204" i="27"/>
  <c r="W203" i="27"/>
  <c r="W204" i="27"/>
  <c r="AI221" i="27"/>
  <c r="AN179" i="27"/>
  <c r="Z257" i="27"/>
  <c r="S285" i="27"/>
  <c r="AN238" i="27"/>
  <c r="Z284" i="27"/>
  <c r="Q264" i="27"/>
  <c r="AL233" i="27"/>
  <c r="S177" i="27"/>
  <c r="AD234" i="27"/>
  <c r="AL228" i="27"/>
  <c r="AJ269" i="27"/>
  <c r="AJ219" i="27"/>
  <c r="AH182" i="27"/>
  <c r="AI234" i="27"/>
  <c r="AJ246" i="27"/>
  <c r="R205" i="27"/>
  <c r="R203" i="27"/>
  <c r="AN208" i="27"/>
  <c r="AM205" i="27"/>
  <c r="S286" i="27"/>
  <c r="AM257" i="27"/>
  <c r="R237" i="27"/>
  <c r="AH261" i="27"/>
  <c r="V178" i="27"/>
  <c r="AJ303" i="27"/>
  <c r="AO285" i="27"/>
  <c r="T282" i="27"/>
  <c r="AJ217" i="27"/>
  <c r="AP199" i="27"/>
  <c r="AH214" i="27"/>
  <c r="S261" i="27"/>
  <c r="AR255" i="27"/>
  <c r="U229" i="27"/>
  <c r="AJ214" i="27"/>
  <c r="AH217" i="27"/>
  <c r="AE256" i="27"/>
  <c r="Y173" i="27"/>
  <c r="U175" i="27"/>
  <c r="Z285" i="27"/>
  <c r="T229" i="27"/>
  <c r="AH231" i="27"/>
  <c r="W234" i="27"/>
  <c r="AH263" i="27"/>
  <c r="AJ267" i="27"/>
  <c r="AI241" i="27"/>
  <c r="AP285" i="27"/>
  <c r="T177" i="27"/>
  <c r="U173" i="27"/>
  <c r="X233" i="27"/>
  <c r="U259" i="27"/>
  <c r="AJ196" i="27"/>
  <c r="V173" i="27"/>
  <c r="AK177" i="27"/>
  <c r="U256" i="27"/>
  <c r="AJ200" i="27"/>
  <c r="AI227" i="27"/>
  <c r="AJ230" i="27"/>
  <c r="AQ256" i="27"/>
  <c r="AG295" i="27"/>
  <c r="AA281" i="27"/>
  <c r="AJ240" i="27"/>
  <c r="Y256" i="27"/>
  <c r="AJ182" i="27"/>
  <c r="AG257" i="27"/>
  <c r="Q284" i="27"/>
  <c r="AD201" i="27"/>
  <c r="U281" i="27"/>
  <c r="AQ283" i="27"/>
  <c r="AP232" i="27"/>
  <c r="AI288" i="27"/>
  <c r="AD257" i="27"/>
  <c r="W231" i="27"/>
  <c r="U265" i="27"/>
  <c r="W256" i="27"/>
  <c r="AJ261" i="27"/>
  <c r="AH220" i="27"/>
  <c r="Y282" i="27"/>
  <c r="AJ288" i="27"/>
  <c r="R285" i="27"/>
  <c r="S200" i="27"/>
  <c r="AG181" i="27"/>
  <c r="R262" i="27"/>
  <c r="AH260" i="27"/>
  <c r="AI230" i="27"/>
  <c r="Q266" i="27"/>
  <c r="AG199" i="27"/>
  <c r="AH228" i="27"/>
  <c r="AJ282" i="27"/>
  <c r="AI229" i="27"/>
  <c r="AG264" i="27"/>
  <c r="W179" i="27"/>
  <c r="AN263" i="27"/>
  <c r="AI272" i="27"/>
  <c r="V260" i="27"/>
  <c r="U233" i="27"/>
  <c r="V207" i="27"/>
  <c r="Y286" i="27"/>
  <c r="W257" i="27"/>
  <c r="AG288" i="27"/>
  <c r="AH181" i="27"/>
  <c r="T235" i="27"/>
  <c r="AQ228" i="27"/>
  <c r="V230" i="27"/>
  <c r="U239" i="27"/>
  <c r="AQ259" i="27"/>
  <c r="AI246" i="27"/>
  <c r="AJ220" i="27"/>
  <c r="AG267" i="27"/>
  <c r="AN233" i="27"/>
  <c r="W281" i="27"/>
  <c r="AG215" i="27"/>
  <c r="AM286" i="27"/>
  <c r="R291" i="27"/>
  <c r="AH247" i="27"/>
  <c r="AG173" i="27"/>
  <c r="Q205" i="27"/>
  <c r="Q206" i="27"/>
  <c r="Z258" i="27"/>
  <c r="T205" i="27"/>
  <c r="W283" i="27"/>
  <c r="AM255" i="27"/>
  <c r="AJ279" i="27"/>
  <c r="AJ175" i="27"/>
  <c r="Q204" i="27"/>
  <c r="AI226" i="27"/>
  <c r="U235" i="27"/>
  <c r="S257" i="27"/>
  <c r="AR202" i="27"/>
  <c r="S233" i="27"/>
  <c r="AM177" i="27"/>
  <c r="R208" i="27"/>
  <c r="AN201" i="27"/>
  <c r="AI237" i="27"/>
  <c r="AD286" i="27"/>
  <c r="AH287" i="27"/>
  <c r="AI220" i="27"/>
  <c r="AE283" i="27"/>
  <c r="X282" i="27"/>
  <c r="R177" i="27"/>
  <c r="V237" i="27"/>
  <c r="Q258" i="27"/>
  <c r="AN240" i="27"/>
  <c r="W286" i="27"/>
  <c r="U174" i="27"/>
  <c r="AG261" i="27"/>
  <c r="AP174" i="27"/>
  <c r="AO230" i="27"/>
  <c r="AE230" i="27"/>
  <c r="AJ186" i="27"/>
  <c r="AG208" i="27"/>
  <c r="AN182" i="27"/>
  <c r="AG296" i="27"/>
  <c r="Z230" i="27"/>
  <c r="AL282" i="27"/>
  <c r="AM204" i="27"/>
  <c r="Q283" i="27"/>
  <c r="AK285" i="27"/>
  <c r="AK176" i="27"/>
  <c r="AL281" i="27"/>
  <c r="AG186" i="27"/>
  <c r="X285" i="27"/>
  <c r="AE282" i="27"/>
  <c r="AI175" i="27"/>
  <c r="X206" i="27"/>
  <c r="AL204" i="27"/>
  <c r="AA257" i="27"/>
  <c r="AI173" i="27"/>
  <c r="AJ302" i="27"/>
  <c r="AJ280" i="27"/>
  <c r="AH177" i="27"/>
  <c r="R292" i="27"/>
  <c r="AL257" i="27"/>
  <c r="AH295" i="27"/>
  <c r="AJ176" i="27"/>
  <c r="AN282" i="27"/>
  <c r="X281" i="27"/>
  <c r="Z175" i="27"/>
  <c r="AM182" i="27"/>
  <c r="R255" i="27"/>
  <c r="W205" i="27"/>
  <c r="X205" i="27"/>
  <c r="AI257" i="27"/>
  <c r="Z232" i="27"/>
  <c r="AO232" i="27"/>
  <c r="V232" i="27"/>
  <c r="AR230" i="27"/>
  <c r="X178" i="27"/>
  <c r="AN256" i="27"/>
  <c r="Q183" i="27"/>
  <c r="AF199" i="27"/>
  <c r="AI208" i="27"/>
  <c r="AQ260" i="27"/>
  <c r="V206" i="27"/>
  <c r="AH176" i="27"/>
  <c r="R265" i="27"/>
  <c r="AJ239" i="27"/>
  <c r="W285" i="27"/>
  <c r="AR201" i="27"/>
  <c r="AR200" i="27"/>
  <c r="AP284" i="27"/>
  <c r="AN289" i="27"/>
  <c r="AJ260" i="27"/>
  <c r="AI267" i="27"/>
  <c r="U177" i="27"/>
  <c r="S255" i="27"/>
  <c r="Y202" i="27"/>
  <c r="W287" i="27"/>
  <c r="AI268" i="27"/>
  <c r="Q256" i="27"/>
  <c r="AI182" i="27"/>
  <c r="AO258" i="27"/>
  <c r="S256" i="27"/>
  <c r="AI242" i="27"/>
  <c r="X203" i="27"/>
  <c r="U182" i="27"/>
  <c r="S199" i="27"/>
  <c r="AM235" i="27"/>
  <c r="AN262" i="27"/>
  <c r="AN178" i="27"/>
  <c r="Y200" i="27"/>
  <c r="U202" i="27"/>
  <c r="AG272" i="27"/>
  <c r="U203" i="27"/>
  <c r="X283" i="27"/>
  <c r="R183" i="27"/>
  <c r="Q209" i="27"/>
  <c r="AG178" i="27"/>
  <c r="S201" i="27"/>
  <c r="AP283" i="27"/>
  <c r="U178" i="27"/>
  <c r="AQ179" i="27"/>
  <c r="AN288" i="27"/>
  <c r="Q230" i="27"/>
  <c r="AG255" i="27"/>
  <c r="U285" i="27"/>
  <c r="AN264" i="27"/>
  <c r="AG177" i="27"/>
  <c r="V179" i="27"/>
  <c r="Z283" i="27"/>
  <c r="Z202" i="27"/>
  <c r="V263" i="27"/>
  <c r="X288" i="27"/>
  <c r="AH292" i="27"/>
  <c r="AJ262" i="27"/>
  <c r="AH189" i="27"/>
  <c r="AE257" i="27"/>
  <c r="R199" i="27"/>
  <c r="AD256" i="27"/>
  <c r="AJ285" i="27"/>
  <c r="AM232" i="27"/>
  <c r="AQ257" i="27"/>
  <c r="AH229" i="27"/>
  <c r="AM287" i="27"/>
  <c r="X180" i="27"/>
  <c r="S204" i="27"/>
  <c r="T283" i="27"/>
  <c r="V175" i="27"/>
  <c r="AG281" i="27"/>
  <c r="AJ232" i="27"/>
  <c r="AM201" i="27"/>
  <c r="R266" i="27"/>
  <c r="AD261" i="27"/>
  <c r="X261" i="27"/>
  <c r="AJ295" i="27"/>
  <c r="AN228" i="27"/>
  <c r="AG229" i="27"/>
  <c r="AI274" i="27"/>
  <c r="AR258" i="27"/>
  <c r="S174" i="27"/>
  <c r="AJ304" i="27"/>
  <c r="AG282" i="27"/>
  <c r="AI205" i="27"/>
  <c r="AI291" i="27"/>
  <c r="S176" i="27"/>
  <c r="AJ208" i="27"/>
  <c r="AN283" i="27"/>
  <c r="AN261" i="27"/>
  <c r="AH284" i="27"/>
  <c r="AR179" i="27"/>
  <c r="AM179" i="27"/>
  <c r="AI258" i="27"/>
  <c r="Q288" i="27"/>
  <c r="AP228" i="27"/>
  <c r="Z204" i="27"/>
  <c r="AE199" i="27"/>
  <c r="AA199" i="27"/>
  <c r="S181" i="27"/>
  <c r="AO282" i="27"/>
  <c r="V264" i="27"/>
  <c r="Q233" i="27"/>
  <c r="W173" i="27"/>
  <c r="S287" i="27"/>
  <c r="V239" i="27"/>
  <c r="U231" i="27"/>
  <c r="AI207" i="27"/>
  <c r="AR286" i="27"/>
  <c r="AG268" i="27"/>
  <c r="AG230" i="27"/>
  <c r="AR228" i="27"/>
  <c r="AJ193" i="27"/>
  <c r="R284" i="27"/>
  <c r="V231" i="27"/>
  <c r="AD233" i="27"/>
  <c r="V229" i="27"/>
  <c r="AI181" i="27"/>
  <c r="R181" i="27"/>
  <c r="AH219" i="27"/>
  <c r="AI256" i="27"/>
  <c r="U201" i="27"/>
  <c r="V265" i="27"/>
  <c r="AO177" i="27"/>
  <c r="AG298" i="27"/>
  <c r="AI219" i="27"/>
  <c r="AA173" i="27"/>
  <c r="R288" i="27"/>
  <c r="AH216" i="27"/>
  <c r="X230" i="27"/>
  <c r="AA283" i="27"/>
  <c r="AH173" i="27"/>
  <c r="AF255" i="27"/>
  <c r="U176" i="27"/>
  <c r="AM228" i="27"/>
  <c r="U206" i="27"/>
  <c r="AM199" i="27"/>
  <c r="AG214" i="27"/>
  <c r="AL176" i="27"/>
  <c r="AI225" i="27"/>
  <c r="AL259" i="27"/>
  <c r="V259" i="27"/>
  <c r="AK256" i="27"/>
  <c r="Q201" i="27"/>
  <c r="AH244" i="27"/>
  <c r="R209" i="27"/>
  <c r="AM263" i="27"/>
  <c r="AK284" i="27"/>
  <c r="AJ276" i="27"/>
  <c r="E36" i="6"/>
  <c r="F21" i="6"/>
  <c r="D359" i="27" l="1"/>
  <c r="F359" i="27" s="1"/>
  <c r="D360" i="27"/>
  <c r="F360" i="27" s="1"/>
  <c r="D352" i="27"/>
  <c r="F352" i="27" s="1"/>
  <c r="D324" i="27"/>
  <c r="F324" i="27" s="1"/>
  <c r="D328" i="27"/>
  <c r="F328" i="27" s="1"/>
  <c r="D332" i="27"/>
  <c r="F332" i="27" s="1"/>
  <c r="D333" i="27"/>
  <c r="F333" i="27" s="1"/>
  <c r="D331" i="27"/>
  <c r="F331" i="27" s="1"/>
  <c r="D321" i="27"/>
  <c r="F321" i="27" s="1"/>
  <c r="D325" i="27"/>
  <c r="F325" i="27" s="1"/>
  <c r="D329" i="27"/>
  <c r="F329" i="27" s="1"/>
  <c r="D323" i="27"/>
  <c r="F323" i="27" s="1"/>
  <c r="D322" i="27"/>
  <c r="F322" i="27" s="1"/>
  <c r="D326" i="27"/>
  <c r="F326" i="27" s="1"/>
  <c r="D330" i="27"/>
  <c r="F330" i="27" s="1"/>
  <c r="D327" i="27"/>
  <c r="F327" i="27" s="1"/>
  <c r="D313" i="27"/>
  <c r="F313" i="27" s="1"/>
  <c r="D270" i="27"/>
  <c r="F270" i="27" s="1"/>
  <c r="D245" i="27"/>
  <c r="F245" i="27" s="1"/>
  <c r="D236" i="27"/>
  <c r="F236" i="27" s="1"/>
  <c r="D311" i="27"/>
  <c r="F311" i="27" s="1"/>
  <c r="D307" i="27"/>
  <c r="F307" i="27" s="1"/>
  <c r="D303" i="27"/>
  <c r="F303" i="27" s="1"/>
  <c r="D299" i="27"/>
  <c r="F299" i="27" s="1"/>
  <c r="D295" i="27"/>
  <c r="F295" i="27" s="1"/>
  <c r="D291" i="27"/>
  <c r="F291" i="27" s="1"/>
  <c r="D308" i="27"/>
  <c r="F308" i="27" s="1"/>
  <c r="D296" i="27"/>
  <c r="F296" i="27" s="1"/>
  <c r="D310" i="27"/>
  <c r="F310" i="27" s="1"/>
  <c r="D306" i="27"/>
  <c r="F306" i="27" s="1"/>
  <c r="D302" i="27"/>
  <c r="F302" i="27" s="1"/>
  <c r="D298" i="27"/>
  <c r="F298" i="27" s="1"/>
  <c r="D294" i="27"/>
  <c r="F294" i="27" s="1"/>
  <c r="D304" i="27"/>
  <c r="F304" i="27" s="1"/>
  <c r="D309" i="27"/>
  <c r="F309" i="27" s="1"/>
  <c r="D305" i="27"/>
  <c r="F305" i="27" s="1"/>
  <c r="D301" i="27"/>
  <c r="F301" i="27" s="1"/>
  <c r="D297" i="27"/>
  <c r="F297" i="27" s="1"/>
  <c r="D293" i="27"/>
  <c r="F293" i="27" s="1"/>
  <c r="D312" i="27"/>
  <c r="F312" i="27" s="1"/>
  <c r="D300" i="27"/>
  <c r="F300" i="27" s="1"/>
  <c r="D292" i="27"/>
  <c r="F292" i="27" s="1"/>
  <c r="D286" i="27"/>
  <c r="F286" i="27" s="1"/>
  <c r="D282" i="27"/>
  <c r="F282" i="27" s="1"/>
  <c r="D278" i="27"/>
  <c r="F278" i="27" s="1"/>
  <c r="D274" i="27"/>
  <c r="F274" i="27" s="1"/>
  <c r="D287" i="27"/>
  <c r="F287" i="27" s="1"/>
  <c r="D275" i="27"/>
  <c r="F275" i="27" s="1"/>
  <c r="D289" i="27"/>
  <c r="F289" i="27" s="1"/>
  <c r="D285" i="27"/>
  <c r="F285" i="27" s="1"/>
  <c r="D281" i="27"/>
  <c r="F281" i="27" s="1"/>
  <c r="D277" i="27"/>
  <c r="F277" i="27" s="1"/>
  <c r="D273" i="27"/>
  <c r="F273" i="27" s="1"/>
  <c r="D283" i="27"/>
  <c r="F283" i="27" s="1"/>
  <c r="D288" i="27"/>
  <c r="F288" i="27" s="1"/>
  <c r="D284" i="27"/>
  <c r="F284" i="27" s="1"/>
  <c r="D280" i="27"/>
  <c r="F280" i="27" s="1"/>
  <c r="D276" i="27"/>
  <c r="F276" i="27" s="1"/>
  <c r="D272" i="27"/>
  <c r="F272" i="27" s="1"/>
  <c r="D279" i="27"/>
  <c r="F279" i="27" s="1"/>
  <c r="D252" i="27"/>
  <c r="F252" i="27" s="1"/>
  <c r="D248" i="27"/>
  <c r="F248" i="27" s="1"/>
  <c r="D251" i="27"/>
  <c r="F251" i="27" s="1"/>
  <c r="D247" i="27"/>
  <c r="F247" i="27" s="1"/>
  <c r="D249" i="27"/>
  <c r="F249" i="27" s="1"/>
  <c r="D250" i="27"/>
  <c r="F250" i="27" s="1"/>
  <c r="D268" i="27"/>
  <c r="F268" i="27" s="1"/>
  <c r="D269" i="27"/>
  <c r="F269" i="27" s="1"/>
  <c r="D267" i="27"/>
  <c r="F267" i="27" s="1"/>
  <c r="D263" i="27"/>
  <c r="F263" i="27" s="1"/>
  <c r="D259" i="27"/>
  <c r="F259" i="27" s="1"/>
  <c r="D260" i="27"/>
  <c r="F260" i="27" s="1"/>
  <c r="D262" i="27"/>
  <c r="F262" i="27" s="1"/>
  <c r="D265" i="27"/>
  <c r="F265" i="27" s="1"/>
  <c r="D261" i="27"/>
  <c r="F261" i="27" s="1"/>
  <c r="D264" i="27"/>
  <c r="F264" i="27" s="1"/>
  <c r="D348" i="27"/>
  <c r="F348" i="27" s="1"/>
  <c r="D351" i="27"/>
  <c r="F351" i="27" s="1"/>
  <c r="D350" i="27"/>
  <c r="F350" i="27" s="1"/>
  <c r="D349" i="27"/>
  <c r="F349" i="27" s="1"/>
  <c r="D256" i="27"/>
  <c r="F256" i="27" s="1"/>
  <c r="D255" i="27"/>
  <c r="F255" i="27" s="1"/>
  <c r="D254" i="27"/>
  <c r="F254" i="27" s="1"/>
  <c r="D222" i="27"/>
  <c r="F222" i="27" s="1"/>
  <c r="D218" i="27"/>
  <c r="F218" i="27" s="1"/>
  <c r="D221" i="27"/>
  <c r="F221" i="27" s="1"/>
  <c r="D219" i="27"/>
  <c r="F219" i="27" s="1"/>
  <c r="D217" i="27"/>
  <c r="F217" i="27" s="1"/>
  <c r="D215" i="27"/>
  <c r="F215" i="27" s="1"/>
  <c r="D220" i="27"/>
  <c r="F220" i="27" s="1"/>
  <c r="D216" i="27"/>
  <c r="F216" i="27" s="1"/>
  <c r="D223" i="27"/>
  <c r="F223" i="27" s="1"/>
  <c r="D343" i="27"/>
  <c r="F343" i="27" s="1"/>
  <c r="D339" i="27"/>
  <c r="F339" i="27" s="1"/>
  <c r="D335" i="27"/>
  <c r="F335" i="27" s="1"/>
  <c r="D336" i="27"/>
  <c r="F336" i="27" s="1"/>
  <c r="D346" i="27"/>
  <c r="F346" i="27" s="1"/>
  <c r="D342" i="27"/>
  <c r="F342" i="27" s="1"/>
  <c r="D338" i="27"/>
  <c r="F338" i="27" s="1"/>
  <c r="D345" i="27"/>
  <c r="F345" i="27" s="1"/>
  <c r="D341" i="27"/>
  <c r="F341" i="27" s="1"/>
  <c r="D337" i="27"/>
  <c r="F337" i="27" s="1"/>
  <c r="D344" i="27"/>
  <c r="F344" i="27" s="1"/>
  <c r="D340" i="27"/>
  <c r="F340" i="27" s="1"/>
  <c r="D317" i="27"/>
  <c r="F317" i="27" s="1"/>
  <c r="D320" i="27"/>
  <c r="F320" i="27" s="1"/>
  <c r="D316" i="27"/>
  <c r="F316" i="27" s="1"/>
  <c r="D319" i="27"/>
  <c r="F319" i="27" s="1"/>
  <c r="D315" i="27"/>
  <c r="F315" i="27" s="1"/>
  <c r="D318" i="27"/>
  <c r="F318" i="27" s="1"/>
  <c r="D242" i="27"/>
  <c r="F242" i="27" s="1"/>
  <c r="D238" i="27"/>
  <c r="F238" i="27" s="1"/>
  <c r="D241" i="27"/>
  <c r="F241" i="27" s="1"/>
  <c r="D239" i="27"/>
  <c r="F239" i="27" s="1"/>
  <c r="D244" i="27"/>
  <c r="F244" i="27" s="1"/>
  <c r="D240" i="27"/>
  <c r="F240" i="27" s="1"/>
  <c r="D243" i="27"/>
  <c r="F243" i="27" s="1"/>
  <c r="D232" i="27"/>
  <c r="F232" i="27" s="1"/>
  <c r="D228" i="27"/>
  <c r="F228" i="27" s="1"/>
  <c r="D231" i="27"/>
  <c r="F231" i="27" s="1"/>
  <c r="D235" i="27"/>
  <c r="F235" i="27" s="1"/>
  <c r="D227" i="27"/>
  <c r="F227" i="27" s="1"/>
  <c r="D229" i="27"/>
  <c r="F229" i="27" s="1"/>
  <c r="D234" i="27"/>
  <c r="F234" i="27" s="1"/>
  <c r="D230" i="27"/>
  <c r="F230" i="27" s="1"/>
  <c r="D226" i="27"/>
  <c r="F226" i="27" s="1"/>
  <c r="D233" i="27"/>
  <c r="F233" i="27" s="1"/>
  <c r="D358" i="27"/>
  <c r="F358" i="27" s="1"/>
  <c r="D354" i="27"/>
  <c r="F354" i="27" s="1"/>
  <c r="D357" i="27"/>
  <c r="F357" i="27" s="1"/>
  <c r="D356" i="27"/>
  <c r="F356" i="27" s="1"/>
  <c r="D355" i="27"/>
  <c r="F355" i="27" s="1"/>
  <c r="D211" i="27"/>
  <c r="F211" i="27" s="1"/>
  <c r="D209" i="27"/>
  <c r="D205" i="27"/>
  <c r="F205" i="27" s="1"/>
  <c r="D201" i="27"/>
  <c r="F201" i="27" s="1"/>
  <c r="D208" i="27"/>
  <c r="D204" i="27"/>
  <c r="F204" i="27" s="1"/>
  <c r="D200" i="27"/>
  <c r="F200" i="27" s="1"/>
  <c r="D206" i="27"/>
  <c r="F206" i="27" s="1"/>
  <c r="D198" i="27"/>
  <c r="D212" i="27"/>
  <c r="F212" i="27" s="1"/>
  <c r="D213" i="27"/>
  <c r="F213" i="27" s="1"/>
  <c r="D207" i="27"/>
  <c r="F207" i="27" s="1"/>
  <c r="D203" i="27"/>
  <c r="F203" i="27" s="1"/>
  <c r="D199" i="27"/>
  <c r="D210" i="27"/>
  <c r="F210" i="27" s="1"/>
  <c r="D202" i="27"/>
  <c r="F202" i="27" s="1"/>
  <c r="E37" i="6"/>
  <c r="D22" i="6"/>
  <c r="F22" i="6" s="1"/>
  <c r="E38" i="6" l="1"/>
  <c r="D24" i="6" l="1"/>
  <c r="F24" i="6" s="1"/>
  <c r="E39" i="6"/>
  <c r="D23" i="6"/>
  <c r="D25" i="6"/>
  <c r="F25" i="6" s="1"/>
  <c r="D27" i="6"/>
  <c r="E40" i="6" l="1"/>
  <c r="F23" i="6"/>
  <c r="D26" i="6"/>
  <c r="F27" i="6"/>
  <c r="E41" i="6" l="1"/>
  <c r="D28" i="6"/>
  <c r="F28" i="6" s="1"/>
  <c r="F26" i="6"/>
  <c r="E52" i="6" l="1"/>
  <c r="D29" i="6" l="1"/>
  <c r="E53" i="6"/>
  <c r="E54" i="6" l="1"/>
  <c r="D30" i="6"/>
  <c r="F29" i="6"/>
  <c r="F30" i="6" l="1"/>
  <c r="D31" i="6"/>
  <c r="E55" i="6"/>
  <c r="D32" i="6" l="1"/>
  <c r="F31" i="6"/>
  <c r="E56" i="6"/>
  <c r="E57" i="6" l="1"/>
  <c r="F32" i="6"/>
  <c r="D33" i="6"/>
  <c r="F33" i="6" l="1"/>
  <c r="E58" i="6"/>
  <c r="D34" i="6"/>
  <c r="F34" i="6" l="1"/>
  <c r="D35" i="6"/>
  <c r="E59" i="6"/>
  <c r="E60" i="6" l="1"/>
  <c r="F35" i="6"/>
  <c r="D36" i="6"/>
  <c r="E61" i="6" l="1"/>
  <c r="F36" i="6"/>
  <c r="D37" i="6"/>
  <c r="F37" i="6" l="1"/>
  <c r="D38" i="6"/>
  <c r="E62" i="6"/>
  <c r="E63" i="6" l="1"/>
  <c r="F38" i="6"/>
  <c r="D39" i="6"/>
  <c r="F39" i="6" l="1"/>
  <c r="D40" i="6"/>
  <c r="E64" i="6"/>
  <c r="E71" i="6" l="1"/>
  <c r="E66" i="6"/>
  <c r="F40" i="6"/>
  <c r="D41" i="6"/>
  <c r="E65" i="6"/>
  <c r="E67" i="6" l="1"/>
  <c r="F41" i="6"/>
  <c r="D52" i="6"/>
  <c r="E68" i="6" l="1"/>
  <c r="F52" i="6"/>
  <c r="D53" i="6"/>
  <c r="E72" i="6"/>
  <c r="E69" i="6" l="1"/>
  <c r="E70" i="6"/>
  <c r="D54" i="6"/>
  <c r="F53" i="6"/>
  <c r="E73" i="6"/>
  <c r="D55" i="6" l="1"/>
  <c r="E74" i="6"/>
  <c r="F54" i="6"/>
  <c r="E75" i="6" l="1"/>
  <c r="F55" i="6"/>
  <c r="D56" i="6"/>
  <c r="F56" i="6" l="1"/>
  <c r="E76" i="6"/>
  <c r="D57" i="6"/>
  <c r="F57" i="6" l="1"/>
  <c r="E77" i="6"/>
  <c r="D58" i="6"/>
  <c r="F58" i="6" l="1"/>
  <c r="E78" i="6"/>
  <c r="D59" i="6"/>
  <c r="F59" i="6" l="1"/>
  <c r="D60" i="6"/>
  <c r="E79" i="6"/>
  <c r="D61" i="6" l="1"/>
  <c r="F60" i="6"/>
  <c r="E80" i="6"/>
  <c r="E81" i="6" l="1"/>
  <c r="F61" i="6"/>
  <c r="D62" i="6"/>
  <c r="F62" i="6" l="1"/>
  <c r="D63" i="6"/>
  <c r="E82" i="6"/>
  <c r="G5" i="6"/>
  <c r="E83" i="6" l="1"/>
  <c r="F63" i="6"/>
  <c r="D64" i="6"/>
  <c r="G6" i="6"/>
  <c r="D71" i="6" l="1"/>
  <c r="F71" i="6" s="1"/>
  <c r="D66" i="6"/>
  <c r="F66" i="6" s="1"/>
  <c r="F64" i="6"/>
  <c r="D65" i="6"/>
  <c r="E84" i="6"/>
  <c r="G7" i="6"/>
  <c r="C4" i="4"/>
  <c r="F4" i="4" s="1"/>
  <c r="K5" i="4"/>
  <c r="D67" i="6" l="1"/>
  <c r="F67" i="6" s="1"/>
  <c r="E85" i="6"/>
  <c r="F65" i="6"/>
  <c r="G8" i="6"/>
  <c r="C5" i="4"/>
  <c r="F5" i="4" s="1"/>
  <c r="K6" i="4"/>
  <c r="D68" i="6" l="1"/>
  <c r="F68" i="6" s="1"/>
  <c r="D72" i="6"/>
  <c r="E86" i="6"/>
  <c r="G9" i="6"/>
  <c r="C6" i="4"/>
  <c r="F6" i="4" s="1"/>
  <c r="K7" i="4"/>
  <c r="D70" i="6" l="1"/>
  <c r="F70" i="6" s="1"/>
  <c r="D69" i="6"/>
  <c r="F69" i="6" s="1"/>
  <c r="E88" i="6"/>
  <c r="E89" i="6"/>
  <c r="F72" i="6"/>
  <c r="D73" i="6"/>
  <c r="E87" i="6"/>
  <c r="C7" i="4"/>
  <c r="F7" i="4" s="1"/>
  <c r="K8" i="4"/>
  <c r="K9" i="4" s="1"/>
  <c r="C9" i="4" s="1"/>
  <c r="F9" i="4" s="1"/>
  <c r="G10" i="6" l="1"/>
  <c r="D74" i="6"/>
  <c r="F73" i="6"/>
  <c r="E101" i="6"/>
  <c r="C8" i="4"/>
  <c r="F8" i="4" s="1"/>
  <c r="G12" i="6" l="1"/>
  <c r="G11" i="6"/>
  <c r="E102" i="6"/>
  <c r="F74" i="6"/>
  <c r="D75" i="6"/>
  <c r="K10" i="4"/>
  <c r="K11" i="4" s="1"/>
  <c r="K12" i="4" l="1"/>
  <c r="C12" i="4" s="1"/>
  <c r="F12" i="4" s="1"/>
  <c r="C11" i="4"/>
  <c r="F11" i="4" s="1"/>
  <c r="G13" i="6"/>
  <c r="F75" i="6"/>
  <c r="D76" i="6"/>
  <c r="E103" i="6"/>
  <c r="C10" i="4"/>
  <c r="F10" i="4" s="1"/>
  <c r="G17" i="6" l="1"/>
  <c r="G14" i="6"/>
  <c r="F76" i="6"/>
  <c r="D77" i="6"/>
  <c r="E104" i="6"/>
  <c r="K13" i="4"/>
  <c r="K14" i="4" s="1"/>
  <c r="G15" i="6" l="1"/>
  <c r="G16" i="6"/>
  <c r="K15" i="4"/>
  <c r="K16" i="4" s="1"/>
  <c r="C16" i="4" s="1"/>
  <c r="F16" i="4" s="1"/>
  <c r="C14" i="4"/>
  <c r="F14" i="4" s="1"/>
  <c r="E105" i="6"/>
  <c r="F77" i="6"/>
  <c r="D78" i="6"/>
  <c r="G18" i="6"/>
  <c r="C13" i="4"/>
  <c r="F13" i="4" s="1"/>
  <c r="F78" i="6" l="1"/>
  <c r="E106" i="6"/>
  <c r="D79" i="6"/>
  <c r="G19" i="6"/>
  <c r="C15" i="4"/>
  <c r="F15" i="4" s="1"/>
  <c r="F79" i="6" l="1"/>
  <c r="D80" i="6"/>
  <c r="E107" i="6"/>
  <c r="G20" i="6"/>
  <c r="F80" i="6" l="1"/>
  <c r="D81" i="6"/>
  <c r="E108" i="6"/>
  <c r="G21" i="6"/>
  <c r="E110" i="6" l="1"/>
  <c r="E111" i="6"/>
  <c r="E109" i="6"/>
  <c r="F81" i="6"/>
  <c r="D82" i="6"/>
  <c r="F82" i="6" l="1"/>
  <c r="D83" i="6"/>
  <c r="G22" i="6"/>
  <c r="F83" i="6" l="1"/>
  <c r="E112" i="6"/>
  <c r="D84" i="6"/>
  <c r="G23" i="6"/>
  <c r="G24" i="6" l="1"/>
  <c r="F84" i="6"/>
  <c r="D85" i="6"/>
  <c r="E113" i="6"/>
  <c r="G25" i="6"/>
  <c r="G27" i="6"/>
  <c r="G26" i="6"/>
  <c r="F85" i="6" l="1"/>
  <c r="D86" i="6"/>
  <c r="E114" i="6"/>
  <c r="D87" i="6" l="1"/>
  <c r="E115" i="6"/>
  <c r="G28" i="6"/>
  <c r="D88" i="6"/>
  <c r="F86" i="6"/>
  <c r="D89" i="6"/>
  <c r="F89" i="6" l="1"/>
  <c r="D101" i="6"/>
  <c r="F88" i="6"/>
  <c r="G29" i="6"/>
  <c r="E116" i="6"/>
  <c r="F87" i="6"/>
  <c r="E117" i="6" l="1"/>
  <c r="G30" i="6"/>
  <c r="F101" i="6"/>
  <c r="D102" i="6"/>
  <c r="F102" i="6" l="1"/>
  <c r="D103" i="6"/>
  <c r="G31" i="6"/>
  <c r="E118" i="6"/>
  <c r="D104" i="6" l="1"/>
  <c r="G32" i="6"/>
  <c r="E119" i="6"/>
  <c r="F103" i="6"/>
  <c r="E120" i="6" l="1"/>
  <c r="D105" i="6"/>
  <c r="G33" i="6"/>
  <c r="F104" i="6"/>
  <c r="G34" i="6" l="1"/>
  <c r="D106" i="6"/>
  <c r="F105" i="6"/>
  <c r="E121" i="6"/>
  <c r="E122" i="6" l="1"/>
  <c r="F106" i="6"/>
  <c r="D107" i="6"/>
  <c r="G35" i="6"/>
  <c r="F107" i="6" l="1"/>
  <c r="G36" i="6"/>
  <c r="E138" i="6"/>
  <c r="D108" i="6"/>
  <c r="D110" i="6" l="1"/>
  <c r="D111" i="6"/>
  <c r="G37" i="6"/>
  <c r="D109" i="6"/>
  <c r="F108" i="6"/>
  <c r="E139" i="6"/>
  <c r="F110" i="6" l="1"/>
  <c r="F111" i="6"/>
  <c r="E140" i="6"/>
  <c r="G38" i="6"/>
  <c r="F109" i="6"/>
  <c r="G39" i="6" l="1"/>
  <c r="D112" i="6"/>
  <c r="E141" i="6"/>
  <c r="F112" i="6" l="1"/>
  <c r="G40" i="6"/>
  <c r="E142" i="6"/>
  <c r="D113" i="6"/>
  <c r="D114" i="6" l="1"/>
  <c r="G41" i="6"/>
  <c r="F113" i="6"/>
  <c r="E143" i="6"/>
  <c r="E144" i="6" l="1"/>
  <c r="D115" i="6"/>
  <c r="F114" i="6"/>
  <c r="G52" i="6"/>
  <c r="G53" i="6" l="1"/>
  <c r="F115" i="6"/>
  <c r="E145" i="6"/>
  <c r="D116" i="6"/>
  <c r="D117" i="6" l="1"/>
  <c r="G54" i="6"/>
  <c r="E146" i="6"/>
  <c r="F116" i="6"/>
  <c r="F117" i="6" l="1"/>
  <c r="D118" i="6"/>
  <c r="G55" i="6"/>
  <c r="E147" i="6"/>
  <c r="E148" i="6" l="1"/>
  <c r="D119" i="6"/>
  <c r="G56" i="6"/>
  <c r="F118" i="6"/>
  <c r="G57" i="6" l="1"/>
  <c r="E150" i="6"/>
  <c r="E149" i="6"/>
  <c r="D120" i="6"/>
  <c r="F119" i="6"/>
  <c r="D121" i="6" l="1"/>
  <c r="F120" i="6"/>
  <c r="G58" i="6"/>
  <c r="D122" i="6" l="1"/>
  <c r="G59" i="6"/>
  <c r="E151" i="6"/>
  <c r="F121" i="6"/>
  <c r="F122" i="6" l="1"/>
  <c r="D138" i="6"/>
  <c r="E152" i="6"/>
  <c r="G60" i="6"/>
  <c r="G61" i="6" l="1"/>
  <c r="F138" i="6"/>
  <c r="E153" i="6"/>
  <c r="D139" i="6"/>
  <c r="D140" i="6" l="1"/>
  <c r="G62" i="6"/>
  <c r="F139" i="6"/>
  <c r="E157" i="6"/>
  <c r="G63" i="6" l="1"/>
  <c r="E158" i="6"/>
  <c r="F140" i="6"/>
  <c r="D141" i="6"/>
  <c r="F141" i="6" l="1"/>
  <c r="D142" i="6"/>
  <c r="G64" i="6"/>
  <c r="E159" i="6"/>
  <c r="G66" i="6" l="1"/>
  <c r="D143" i="6"/>
  <c r="G65" i="6"/>
  <c r="G71" i="6"/>
  <c r="E160" i="6"/>
  <c r="F142" i="6"/>
  <c r="G67" i="6" l="1"/>
  <c r="E161" i="6"/>
  <c r="D144" i="6"/>
  <c r="F143" i="6"/>
  <c r="G68" i="6" l="1"/>
  <c r="G72" i="6"/>
  <c r="D145" i="6"/>
  <c r="F144" i="6"/>
  <c r="E162" i="6"/>
  <c r="G70" i="6" l="1"/>
  <c r="G69" i="6"/>
  <c r="F145" i="6"/>
  <c r="D146" i="6"/>
  <c r="G73" i="6"/>
  <c r="E163" i="6"/>
  <c r="G74" i="6" l="1"/>
  <c r="E164" i="6"/>
  <c r="D147" i="6"/>
  <c r="F146" i="6"/>
  <c r="F147" i="6" l="1"/>
  <c r="G75" i="6"/>
  <c r="D148" i="6"/>
  <c r="F148" i="6" l="1"/>
  <c r="D149" i="6"/>
  <c r="G76" i="6"/>
  <c r="D150" i="6"/>
  <c r="F150" i="6" s="1"/>
  <c r="F149" i="6" l="1"/>
  <c r="G77" i="6"/>
  <c r="G78" i="6" l="1"/>
  <c r="D151" i="6"/>
  <c r="F151" i="6" l="1"/>
  <c r="G79" i="6"/>
  <c r="D152" i="6"/>
  <c r="G80" i="6" l="1"/>
  <c r="F152" i="6"/>
  <c r="D153" i="6"/>
  <c r="F153" i="6" l="1"/>
  <c r="G81" i="6"/>
  <c r="D157" i="6"/>
  <c r="F157" i="6" l="1"/>
  <c r="G82" i="6"/>
  <c r="D158" i="6"/>
  <c r="D159" i="6" l="1"/>
  <c r="G83" i="6"/>
  <c r="F158" i="6"/>
  <c r="D160" i="6" l="1"/>
  <c r="F159" i="6"/>
  <c r="G84" i="6"/>
  <c r="F160" i="6" l="1"/>
  <c r="G85" i="6"/>
  <c r="D161" i="6"/>
  <c r="F161" i="6" l="1"/>
  <c r="G86" i="6"/>
  <c r="D162" i="6"/>
  <c r="D163" i="6" l="1"/>
  <c r="F162" i="6"/>
  <c r="G87" i="6"/>
  <c r="G88" i="6"/>
  <c r="G101" i="6" l="1"/>
  <c r="G102" i="6"/>
  <c r="G89" i="6"/>
  <c r="D164" i="6"/>
  <c r="F163" i="6"/>
  <c r="G103" i="6" l="1"/>
  <c r="F164" i="6"/>
  <c r="G104" i="6" l="1"/>
  <c r="G105" i="6" l="1"/>
  <c r="G106" i="6" l="1"/>
  <c r="G107" i="6"/>
  <c r="G111" i="6"/>
  <c r="G108" i="6" l="1"/>
  <c r="G110" i="6"/>
  <c r="G109" i="6"/>
  <c r="G112" i="6" l="1"/>
  <c r="G113" i="6" l="1"/>
  <c r="G114" i="6" l="1"/>
  <c r="G115" i="6" l="1"/>
  <c r="G116" i="6" l="1"/>
  <c r="G117" i="6" l="1"/>
  <c r="G118" i="6" l="1"/>
  <c r="G119" i="6" l="1"/>
  <c r="G120" i="6" l="1"/>
  <c r="G121" i="6" l="1"/>
  <c r="G122" i="6" l="1"/>
  <c r="G138" i="6" l="1"/>
  <c r="G157" i="6" l="1"/>
  <c r="G158" i="6" l="1"/>
  <c r="G159" i="6" l="1"/>
  <c r="G160" i="6" l="1"/>
  <c r="G161" i="6" l="1"/>
  <c r="G162" i="6" l="1"/>
  <c r="G163" i="6" l="1"/>
  <c r="G164" i="6" l="1"/>
  <c r="E24" i="7" l="1"/>
  <c r="I177" i="27" s="1"/>
  <c r="B24" i="7"/>
  <c r="I173" i="27" s="1"/>
  <c r="F24" i="7"/>
  <c r="J169" i="27" s="1"/>
  <c r="D195" i="27" s="1"/>
  <c r="F195" i="27" s="1"/>
  <c r="D24" i="7"/>
  <c r="I176" i="27" s="1"/>
  <c r="B16" i="8"/>
  <c r="I174" i="27" s="1"/>
  <c r="J16" i="8" l="1"/>
  <c r="I16" i="8"/>
  <c r="I175" i="27" s="1"/>
  <c r="I181" i="27" s="1"/>
  <c r="D178" i="27" s="1"/>
  <c r="H16" i="8"/>
  <c r="F209" i="27" l="1"/>
  <c r="F199" i="27"/>
  <c r="F198" i="27"/>
  <c r="F208" i="27"/>
  <c r="F178" i="27"/>
  <c r="F361" i="27" l="1"/>
  <c r="D361" i="27"/>
  <c r="D362" i="27" s="1"/>
  <c r="E383" i="27" s="1"/>
  <c r="E377" i="27" l="1"/>
  <c r="E382" i="27"/>
  <c r="E387" i="27"/>
  <c r="E388" i="27" s="1"/>
  <c r="E389" i="27" s="1"/>
  <c r="E380" i="27"/>
  <c r="E379" i="27"/>
  <c r="E381" i="27"/>
  <c r="E378" i="27"/>
  <c r="E384"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8BFC5D-E0C5-48C3-8D22-24BBF4B9308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<sst xmlns="http://schemas.openxmlformats.org/spreadsheetml/2006/main" count="2805" uniqueCount="1223">
  <si>
    <t>Standard Rates</t>
  </si>
  <si>
    <t>50sqm Concrete paving</t>
  </si>
  <si>
    <t>Floor tiles</t>
  </si>
  <si>
    <t>Carpets</t>
  </si>
  <si>
    <t>Eaves</t>
  </si>
  <si>
    <t>Shepparton</t>
  </si>
  <si>
    <t>Echuca</t>
  </si>
  <si>
    <t>Single storey</t>
  </si>
  <si>
    <t>6 Months</t>
  </si>
  <si>
    <t>Floor Tiles</t>
  </si>
  <si>
    <t>Wastage</t>
  </si>
  <si>
    <t>List price</t>
  </si>
  <si>
    <t>Adelaide 18</t>
  </si>
  <si>
    <t>Adelaide 21</t>
  </si>
  <si>
    <t>Adelaide 22A</t>
  </si>
  <si>
    <t>Adelaide 22B</t>
  </si>
  <si>
    <t>Adelaide 24</t>
  </si>
  <si>
    <t>Ashfield 24</t>
  </si>
  <si>
    <t>Ashfield 30</t>
  </si>
  <si>
    <t>Ashfield 34</t>
  </si>
  <si>
    <t>Ashley 19</t>
  </si>
  <si>
    <t>Ashley 22</t>
  </si>
  <si>
    <t>Ashley 24</t>
  </si>
  <si>
    <t>Ashley 25</t>
  </si>
  <si>
    <t>Ashley 25A</t>
  </si>
  <si>
    <t>Ashley 26</t>
  </si>
  <si>
    <t>Ashley 27</t>
  </si>
  <si>
    <t>Ashley 28</t>
  </si>
  <si>
    <t>Ballina 30</t>
  </si>
  <si>
    <t>Bayview 23</t>
  </si>
  <si>
    <t>Bayview 26</t>
  </si>
  <si>
    <t>Bayview 30</t>
  </si>
  <si>
    <t>Bondi 25</t>
  </si>
  <si>
    <t>Bondi 31</t>
  </si>
  <si>
    <t>Bondi 36</t>
  </si>
  <si>
    <t>Cambridge 22</t>
  </si>
  <si>
    <t>Cambridge 24</t>
  </si>
  <si>
    <t>Cambridge 26</t>
  </si>
  <si>
    <t>Cambridge 30</t>
  </si>
  <si>
    <t>Duneed 22</t>
  </si>
  <si>
    <t>Duneed 23</t>
  </si>
  <si>
    <t>Duneed 24</t>
  </si>
  <si>
    <t>Duneed 25</t>
  </si>
  <si>
    <t>Duneed 30</t>
  </si>
  <si>
    <t>Eclipse 23</t>
  </si>
  <si>
    <t>Eclipse 26</t>
  </si>
  <si>
    <t>Eclipse 28</t>
  </si>
  <si>
    <t>Hamilton 24</t>
  </si>
  <si>
    <t>Hamilton 29</t>
  </si>
  <si>
    <t>Hamilton 34</t>
  </si>
  <si>
    <t>Launceston 21</t>
  </si>
  <si>
    <t>Launceston 22</t>
  </si>
  <si>
    <t>Launceston 24</t>
  </si>
  <si>
    <t>Manly 20</t>
  </si>
  <si>
    <t>Manly 22</t>
  </si>
  <si>
    <t>Manly 24</t>
  </si>
  <si>
    <t>Manly 25</t>
  </si>
  <si>
    <t>Manly 30</t>
  </si>
  <si>
    <t>Manly 36</t>
  </si>
  <si>
    <t>Parkdale 24</t>
  </si>
  <si>
    <t>Parkdale 30</t>
  </si>
  <si>
    <t>Parkdale 33</t>
  </si>
  <si>
    <t>Parkview 24 - 3 Bed</t>
  </si>
  <si>
    <t>Parkview 24 - 4 Bed</t>
  </si>
  <si>
    <t>Parkview 26</t>
  </si>
  <si>
    <t>Parkview 28</t>
  </si>
  <si>
    <t>Parkview 30</t>
  </si>
  <si>
    <t>Parkview 31</t>
  </si>
  <si>
    <t>Santa Barbara 20</t>
  </si>
  <si>
    <t>Santa Barbara 22</t>
  </si>
  <si>
    <t>Santa Barbara 25</t>
  </si>
  <si>
    <t>Santa Barbara 26</t>
  </si>
  <si>
    <t>Inglewood 24</t>
  </si>
  <si>
    <t>Inglewood 26</t>
  </si>
  <si>
    <t>Inglewood 29</t>
  </si>
  <si>
    <t>Inglewood 31</t>
  </si>
  <si>
    <t>Inglewood 34</t>
  </si>
  <si>
    <t>Inglewood 38</t>
  </si>
  <si>
    <t>Maldon 27</t>
  </si>
  <si>
    <t>Palmerston 28</t>
  </si>
  <si>
    <t>Palmerston 35</t>
  </si>
  <si>
    <t>Sandown 23</t>
  </si>
  <si>
    <t>Sandown 26</t>
  </si>
  <si>
    <t>Sandown 28 (30)</t>
  </si>
  <si>
    <t>Sandown 32</t>
  </si>
  <si>
    <t>Winton 24</t>
  </si>
  <si>
    <t>Winton 28</t>
  </si>
  <si>
    <t>Winton 32</t>
  </si>
  <si>
    <t>Albany 17</t>
  </si>
  <si>
    <t>Albany 18</t>
  </si>
  <si>
    <t>Albany 20</t>
  </si>
  <si>
    <t>Avoca 16</t>
  </si>
  <si>
    <t>Avoca 19</t>
  </si>
  <si>
    <t>Avoca 20</t>
  </si>
  <si>
    <t>Belinda 16</t>
  </si>
  <si>
    <t>Belinda 18</t>
  </si>
  <si>
    <t>Belinda 20</t>
  </si>
  <si>
    <t>Fairfield 18</t>
  </si>
  <si>
    <t>Fairfield 19</t>
  </si>
  <si>
    <t>Fairfield 20</t>
  </si>
  <si>
    <t>Melrose 19</t>
  </si>
  <si>
    <t>Stratford 16A</t>
  </si>
  <si>
    <t>Stratford 16B</t>
  </si>
  <si>
    <t>Belmont 22A</t>
  </si>
  <si>
    <t>Belmont 22B</t>
  </si>
  <si>
    <t>Belmont 24A</t>
  </si>
  <si>
    <t>Belmont 24B</t>
  </si>
  <si>
    <t>Base House Plan</t>
  </si>
  <si>
    <t>Price per sqm</t>
  </si>
  <si>
    <t>Tiles</t>
  </si>
  <si>
    <t>Rate per sqm for the custom plan</t>
  </si>
  <si>
    <t>Enter the figures manually</t>
  </si>
  <si>
    <t>Unit</t>
  </si>
  <si>
    <t xml:space="preserve">Base </t>
  </si>
  <si>
    <t>Custom</t>
  </si>
  <si>
    <t>Dwelling area</t>
  </si>
  <si>
    <t>M2</t>
  </si>
  <si>
    <t>Garage area</t>
  </si>
  <si>
    <t>Porch area</t>
  </si>
  <si>
    <t>Outdoor living area</t>
  </si>
  <si>
    <t>Porch concrete footing</t>
  </si>
  <si>
    <t>LM</t>
  </si>
  <si>
    <t>Outdoor living footing</t>
  </si>
  <si>
    <t>Brick pier</t>
  </si>
  <si>
    <t>Each</t>
  </si>
  <si>
    <t>90X90 Steel column</t>
  </si>
  <si>
    <t>Hip length</t>
  </si>
  <si>
    <t>Valley length</t>
  </si>
  <si>
    <t>Ridge length</t>
  </si>
  <si>
    <t>Perimeter  walls</t>
  </si>
  <si>
    <t>Internal walls</t>
  </si>
  <si>
    <t>Plaster bulkheads</t>
  </si>
  <si>
    <t>Kitchen wall bench</t>
  </si>
  <si>
    <t>Kitchen overhead cupboards</t>
  </si>
  <si>
    <t>Kitchen island bench</t>
  </si>
  <si>
    <t>Laundry bench</t>
  </si>
  <si>
    <t>Internal swing doors</t>
  </si>
  <si>
    <t>Internal double swing doors</t>
  </si>
  <si>
    <t>Internal cavity sliders</t>
  </si>
  <si>
    <t>Internal double cavity sliders</t>
  </si>
  <si>
    <t>Windows</t>
  </si>
  <si>
    <t>External swing door - Entry</t>
  </si>
  <si>
    <t>External swing door - Garage</t>
  </si>
  <si>
    <t>Sliding doors</t>
  </si>
  <si>
    <t>Built in robes/linens</t>
  </si>
  <si>
    <t>Up to 1800mm wide</t>
  </si>
  <si>
    <t>1800mm to 2500mm  wide</t>
  </si>
  <si>
    <t>2500mm to 3000mm  wide</t>
  </si>
  <si>
    <t>Linen shelving - 4 shelves</t>
  </si>
  <si>
    <t>Robe shelving with hanging rail</t>
  </si>
  <si>
    <t>End panels</t>
  </si>
  <si>
    <t>Total</t>
  </si>
  <si>
    <t>SHEPPARTON</t>
  </si>
  <si>
    <t>HOUSE DESIGN</t>
  </si>
  <si>
    <t>BASE PRICE *</t>
  </si>
  <si>
    <t>50sqm NATURAL CONCRETE</t>
  </si>
  <si>
    <t>LIFESTYLE FLOOR TILES</t>
  </si>
  <si>
    <t>LIFESTYLE CARPETS</t>
  </si>
  <si>
    <t>PACKAGE PRICE *50sqm NATURAL CONCRETE          *CARPET          *TILES</t>
  </si>
  <si>
    <t>PRICE TO ADD EAVES</t>
  </si>
  <si>
    <t>Promotional</t>
  </si>
  <si>
    <t>50sqm natural concrete</t>
  </si>
  <si>
    <t>Tiles per sqm</t>
  </si>
  <si>
    <t>Carpet per sqm</t>
  </si>
  <si>
    <t>Eaves per lm</t>
  </si>
  <si>
    <t>BASE PRICE INCLUDES:</t>
  </si>
  <si>
    <t>BASE PRICE DOES NOT INCLUDE:</t>
  </si>
  <si>
    <t>*SEWER, STORMWATER AND POWER</t>
  </si>
  <si>
    <t xml:space="preserve">*SITE PIERING </t>
  </si>
  <si>
    <t>TO A 700m2 BLOCK</t>
  </si>
  <si>
    <t>*RAISED PORTICO</t>
  </si>
  <si>
    <t xml:space="preserve">*20m TEMP FENCING </t>
  </si>
  <si>
    <t>*TILES</t>
  </si>
  <si>
    <t>*'MD' CLASS SLAB</t>
  </si>
  <si>
    <t>*CARPET</t>
  </si>
  <si>
    <t>*EXTERNAL PAVING</t>
  </si>
  <si>
    <t>*EAVES</t>
  </si>
  <si>
    <t>60sqm NATURAL CONCRETE</t>
  </si>
  <si>
    <t>ASPIRE FLOOR TILES</t>
  </si>
  <si>
    <t>ASPIRE CARPET</t>
  </si>
  <si>
    <t>ROLLER BLINDS TO ALL WINDOWS AND SLIDING DOORS</t>
  </si>
  <si>
    <t>TV ANTENNA</t>
  </si>
  <si>
    <t>SPLIT SYSTEM TO FAMILY ROOM</t>
  </si>
  <si>
    <t xml:space="preserve">WALL MOUNTED CLOTHESLINE </t>
  </si>
  <si>
    <t>COLORBOND LETTER BOX</t>
  </si>
  <si>
    <t xml:space="preserve">PACKAGE PRICE </t>
  </si>
  <si>
    <t>60sqm natural concrete</t>
  </si>
  <si>
    <t>Aspire Tiles per sqm</t>
  </si>
  <si>
    <t>Aspire Carpet per sqm</t>
  </si>
  <si>
    <t>INCLUDED</t>
  </si>
  <si>
    <t>Prices based on a Standard Façade</t>
  </si>
  <si>
    <t>ECHUCA</t>
  </si>
  <si>
    <t>1.Price list</t>
  </si>
  <si>
    <t>2.House plan</t>
  </si>
  <si>
    <t>2.House design</t>
  </si>
  <si>
    <t>Base price</t>
  </si>
  <si>
    <t>Please pick Travel area</t>
  </si>
  <si>
    <t>TRAVEL AREA</t>
  </si>
  <si>
    <t>Area</t>
  </si>
  <si>
    <t>50m2 paving</t>
  </si>
  <si>
    <t>ALEXANDRA</t>
  </si>
  <si>
    <t>AVENEL</t>
  </si>
  <si>
    <t>BENALLA</t>
  </si>
  <si>
    <t>COBRAM</t>
  </si>
  <si>
    <t>COHUNA</t>
  </si>
  <si>
    <t>DENILIQUIN</t>
  </si>
  <si>
    <t>EUROA</t>
  </si>
  <si>
    <t>FINLEY</t>
  </si>
  <si>
    <t>KATANDRA</t>
  </si>
  <si>
    <t>KOONDROOK</t>
  </si>
  <si>
    <t>POA</t>
  </si>
  <si>
    <t>KYABRAM</t>
  </si>
  <si>
    <t>MANSFIELD</t>
  </si>
  <si>
    <t>MURCHISON</t>
  </si>
  <si>
    <t>NAGAMBIE</t>
  </si>
  <si>
    <t>NATHALIA</t>
  </si>
  <si>
    <t>NUMURKAH</t>
  </si>
  <si>
    <t>ROCHESTER</t>
  </si>
  <si>
    <t>RUSHWORTH</t>
  </si>
  <si>
    <t>SEYMOUR</t>
  </si>
  <si>
    <t>STRATHMERTON</t>
  </si>
  <si>
    <t>STANHOPE</t>
  </si>
  <si>
    <t>TATURA</t>
  </si>
  <si>
    <t>TONGALA</t>
  </si>
  <si>
    <t>TUNGAMAH</t>
  </si>
  <si>
    <t>YARRAWONGA</t>
  </si>
  <si>
    <t>YEA</t>
  </si>
  <si>
    <t>Item</t>
  </si>
  <si>
    <t>ABN: 50 105 889 745</t>
  </si>
  <si>
    <t>7961 Goulburn Valley Hwy</t>
  </si>
  <si>
    <t xml:space="preserve">Telephone 5823 1859  </t>
  </si>
  <si>
    <t>P O BOX 922</t>
  </si>
  <si>
    <t>Display Home  5832 6082</t>
  </si>
  <si>
    <t>SHEPPARTON  VIC  3632</t>
  </si>
  <si>
    <t>DB-U 9856</t>
  </si>
  <si>
    <t>Dear</t>
  </si>
  <si>
    <t>RE: PRELIMINARY PRICING</t>
  </si>
  <si>
    <t xml:space="preserve">Thank you for your interest in building a new home with Cavalier Homes Goulburn Valley, we greatly </t>
  </si>
  <si>
    <t>appreciate the opportunity to work with you designing and building your new home.</t>
  </si>
  <si>
    <t>Please find attached the preliminary pricing to build a house on your land at</t>
  </si>
  <si>
    <t>This preliminary pricing is provided as a guide and is subject to review after 30 days or before this</t>
  </si>
  <si>
    <t>time if a new price list is released in the interim.</t>
  </si>
  <si>
    <t>If you are pleased with the preliminary price, we can then provide a firm price once you have paid an</t>
  </si>
  <si>
    <t>initial preliminary service fee of $2,000 - (this will secure the price as per the terms and conditions</t>
  </si>
  <si>
    <t>of the Cavalier Homes Goulburn Valley Ground Work document which we will discuss further should</t>
  </si>
  <si>
    <t>you wish to proceed to the next stage).</t>
  </si>
  <si>
    <t>Once the initial preliminary service fee is received, we will arrange to have working drawings drafted</t>
  </si>
  <si>
    <t xml:space="preserve">which will show you fully detailed plan of the interior and exterior of your home.  </t>
  </si>
  <si>
    <t>We will also engage an independent, qualified engineer to provide a slab design based on your home</t>
  </si>
  <si>
    <t>design and the results of the soil test inspection carried out on your block.</t>
  </si>
  <si>
    <t>As discussed, we will provide you with a final fixed price once the following are completed:</t>
  </si>
  <si>
    <t>The colour selections</t>
  </si>
  <si>
    <t xml:space="preserve">Working drawings </t>
  </si>
  <si>
    <t>Engineer report of soil test &amp; slab design</t>
  </si>
  <si>
    <t>I look forward to assisting you with your building project and will be in contact to discuss this initial</t>
  </si>
  <si>
    <t>preliminary pricing.</t>
  </si>
  <si>
    <t>Yours faithfully</t>
  </si>
  <si>
    <t>Sales Consultant - Cavalier Homes Goulburn Valley Pty Ltd</t>
  </si>
  <si>
    <t>SALES ESTIMATE SHEET</t>
  </si>
  <si>
    <t xml:space="preserve">Client/s Name: </t>
  </si>
  <si>
    <t>Client/s Address:</t>
  </si>
  <si>
    <t>Client/s Phone Number:</t>
  </si>
  <si>
    <t>Client/s Email Address:</t>
  </si>
  <si>
    <t>Site Address:</t>
  </si>
  <si>
    <t>LIFESTYLE INCLUSIONS</t>
  </si>
  <si>
    <t>PRE- CONSTRUCTION</t>
  </si>
  <si>
    <t>Soil test and site inspection of your block</t>
  </si>
  <si>
    <t>Included</t>
  </si>
  <si>
    <t>Independent qualified engineer designed slab</t>
  </si>
  <si>
    <t>Rescode investigation</t>
  </si>
  <si>
    <t>Building permit and associated fees (does not include planning permit)</t>
  </si>
  <si>
    <t>Development application for NSW jobs</t>
  </si>
  <si>
    <t>Builder's insurances</t>
  </si>
  <si>
    <t>Independent 6 star energy rating</t>
  </si>
  <si>
    <t>SERVICE CONNECTIONS</t>
  </si>
  <si>
    <t>Sewer run and connection fees to 700m2 block</t>
  </si>
  <si>
    <t>Water run and connection fees to 6m front setback</t>
  </si>
  <si>
    <t>Stormwater connection to 6m front setback</t>
  </si>
  <si>
    <t>Electricity run to 6m front setback (does not include connection fee)</t>
  </si>
  <si>
    <t>Gas service is to be supplied by the retailer</t>
  </si>
  <si>
    <t>FOUNDATIONS</t>
  </si>
  <si>
    <t>Site fall up to 200mm</t>
  </si>
  <si>
    <t>MD class concrete slab (floor height at least 250mm - there is no allowance for piers)</t>
  </si>
  <si>
    <t>Concrete pump</t>
  </si>
  <si>
    <t>TERMITE PROTECTION</t>
  </si>
  <si>
    <t>Termite resistant treated timber to all structural framing</t>
  </si>
  <si>
    <t>ROOFING</t>
  </si>
  <si>
    <t>Colorbond iron roof with sarking</t>
  </si>
  <si>
    <t>Colorbond slotted gutter, fascia and downpipes (downpipes 100mm x 50mm)</t>
  </si>
  <si>
    <t>22.5 degree roof pitch</t>
  </si>
  <si>
    <t>FACADE</t>
  </si>
  <si>
    <t>Standard façade with 450mm eaves to front elevation as per brochure plans</t>
  </si>
  <si>
    <t>CEILING HEIGHT</t>
  </si>
  <si>
    <t xml:space="preserve">2400mm ceiling height </t>
  </si>
  <si>
    <t>Plaster ceilings are fixed to a metal batten system, suspended on clips and is laser levelled to the entire home</t>
  </si>
  <si>
    <t>EXTERNAL FINISH</t>
  </si>
  <si>
    <t>Lifestyle range of PGH bricks with natural mortar</t>
  </si>
  <si>
    <t>Bricks over external swing and sliding doors (to openings up to 3.6m wide), windows and garage doors</t>
  </si>
  <si>
    <t>Outdoor living ceiling to be lined with plaster sheeting (brick piers or duragal steel columns are plan specific)</t>
  </si>
  <si>
    <t>ENERGY EFFICIENT FEATURES</t>
  </si>
  <si>
    <t>R3.5 Insulation batts to ceiling (excludes garage ceiling)</t>
  </si>
  <si>
    <t>R2.0 Insulation batts plus sisalation paper to external walls (excludes garage external walls)</t>
  </si>
  <si>
    <t>EXTERNAL DOORS</t>
  </si>
  <si>
    <t>Front door - Hume Newington solid core door with Lockwood Symmetry entry set</t>
  </si>
  <si>
    <t>External door jambs with perimeter draft seal (Glass sidelights are plan specific)</t>
  </si>
  <si>
    <t>Flydoors to glass sliding doors (except garage)</t>
  </si>
  <si>
    <t>WINDOWS</t>
  </si>
  <si>
    <t>Aluminium sliding windows with key locks</t>
  </si>
  <si>
    <t>Flyscreens to all opening windows (except garage)</t>
  </si>
  <si>
    <t>Obscure or clear glass to bathroom, ensuite &amp; WC windows</t>
  </si>
  <si>
    <t>GARAGE</t>
  </si>
  <si>
    <t>Choice of external swing door or 2118 glass sliding door</t>
  </si>
  <si>
    <t>Plaster lined walls &amp; ceiling</t>
  </si>
  <si>
    <t>Sectional overhead garage door with wall mounted remote control and 2 transmitters</t>
  </si>
  <si>
    <t xml:space="preserve">Concrete slab floor </t>
  </si>
  <si>
    <t>INTERNAL FINISH</t>
  </si>
  <si>
    <t>75mm Cove cornice</t>
  </si>
  <si>
    <t>67mm x 18mm Bevelled edge architraves</t>
  </si>
  <si>
    <t>67mm x 18mm Bevelled edge skirtings</t>
  </si>
  <si>
    <t>INTERNAL DOORS</t>
  </si>
  <si>
    <t>Internal doors - 2040mm high flush panel doors</t>
  </si>
  <si>
    <t xml:space="preserve">Lockwood velocity door furniture to hinged doors </t>
  </si>
  <si>
    <t xml:space="preserve">Privacy locks to bathroom, ensuite and WC hinged doors </t>
  </si>
  <si>
    <t xml:space="preserve">Door stops to all hinged doors </t>
  </si>
  <si>
    <t>KITCHEN</t>
  </si>
  <si>
    <t>Westinghouse 60cm stainless steel multifunction electric underbench oven</t>
  </si>
  <si>
    <t>Westinghouse 60cm stainless steel gas cooktop</t>
  </si>
  <si>
    <t>Westinghouse 60cm stainless steel slideout rangehood</t>
  </si>
  <si>
    <t>Westinghouse 60cm freestanding dishwasher</t>
  </si>
  <si>
    <t>Joinery made base cabinet with laminate benchtop and overhead cupboards above cooktop section</t>
  </si>
  <si>
    <t>Soft close drawers &amp; cupboard doors</t>
  </si>
  <si>
    <t>Underbench microwave cavity with one pot drawer</t>
  </si>
  <si>
    <t>1 &amp; 3/4 bowl stainless steel sink with sink mixer</t>
  </si>
  <si>
    <t>Bank of four drawers with cutlery insert to top drawer</t>
  </si>
  <si>
    <t>Four white melamine shelves to pantry</t>
  </si>
  <si>
    <t>ENSUITE/BATHROOM/WC</t>
  </si>
  <si>
    <t>Joinery made cabinet with laminate benchtop</t>
  </si>
  <si>
    <t>Frameless mirror 900mm high x width of vanity</t>
  </si>
  <si>
    <t>Acrylic bath in white to bathroom</t>
  </si>
  <si>
    <t>Choice of vanity basins in white</t>
  </si>
  <si>
    <t>Choice of mixer tapware in chrome</t>
  </si>
  <si>
    <t>Semi frameless pivot door shower screen in polished silver with clear glass</t>
  </si>
  <si>
    <t>Tiled shower base</t>
  </si>
  <si>
    <t>Goulburn glass shower shelf</t>
  </si>
  <si>
    <t>Double towel rail &amp; toilet roll holder in chrome</t>
  </si>
  <si>
    <t>Choice of back to wall toilet suites in white with soft close seat</t>
  </si>
  <si>
    <t>LAUNDRY</t>
  </si>
  <si>
    <t>1200mm Joinery made base cabinet with laminate benchtop and insert trough</t>
  </si>
  <si>
    <t>ROBES, LINEN AND BROOM CUPBOARDS</t>
  </si>
  <si>
    <t xml:space="preserve">Robes to all bedrooms with one melamine shelf and hanging rail </t>
  </si>
  <si>
    <t xml:space="preserve">Four melamine shelves to linen cupboards </t>
  </si>
  <si>
    <t xml:space="preserve">Hinged doors to walk in robes </t>
  </si>
  <si>
    <t>Vinyl sliding doors to all robes &amp; linen cupboards</t>
  </si>
  <si>
    <t>PAINTING</t>
  </si>
  <si>
    <t>Haymes three coat paint system to walls and ceilings</t>
  </si>
  <si>
    <t xml:space="preserve">Satin acrylic to walls </t>
  </si>
  <si>
    <t xml:space="preserve">Flat acrylic to ceilings </t>
  </si>
  <si>
    <t>Gloss enamel to doors, architraves and skirtings</t>
  </si>
  <si>
    <t>ELECTRICAL</t>
  </si>
  <si>
    <t xml:space="preserve">Batten holder light globe and shade to each room (plan specific) </t>
  </si>
  <si>
    <t xml:space="preserve">Two double powerpoints to living rooms, kitchen and master bedroom </t>
  </si>
  <si>
    <t xml:space="preserve">One double powerpoint to other bedrooms and each wet area  </t>
  </si>
  <si>
    <t>External light point at each external door</t>
  </si>
  <si>
    <t>One television point &amp; splitter box with coaxial cable in roof space (antenna by owner)</t>
  </si>
  <si>
    <t>Exhaust fan to ensuite &amp; bathroom</t>
  </si>
  <si>
    <t>Hard wired smoke detectors with battery backup</t>
  </si>
  <si>
    <t xml:space="preserve">Safety and isolation switches </t>
  </si>
  <si>
    <t>NBN ready with 1 data point (connection to be organised by Owner)</t>
  </si>
  <si>
    <t>HOT WATER SERVICE</t>
  </si>
  <si>
    <t>Rinnai solar hot water service with 175L tank, evacuator tubes and instantaneous gas booster</t>
  </si>
  <si>
    <t>HEATING &amp; COOLING</t>
  </si>
  <si>
    <t>Ducted gas heating (capacity to suit home)</t>
  </si>
  <si>
    <t>Ducted evaporative cooling (capacity to suit home)</t>
  </si>
  <si>
    <t>CERAMIC WALL TILING</t>
  </si>
  <si>
    <t>Lifestyle range of wall tiles (sizes up to 450mm x 450mm) to:</t>
  </si>
  <si>
    <t xml:space="preserve">Kitchen splashback: above benchtop </t>
  </si>
  <si>
    <t>Bathroom: shower compartment to the height of the shower screen, one row above the vanity, bath hob and above bath</t>
  </si>
  <si>
    <t>Ensuite: shower compartment to height of shower screen and one row above the vanity</t>
  </si>
  <si>
    <t>Laundry: above benchtop</t>
  </si>
  <si>
    <t>FLOOR COVERINGS</t>
  </si>
  <si>
    <t>Lifestyle range of carpet with 10mm thick underlay to all bedrooms and lounge as shown on plan</t>
  </si>
  <si>
    <t>Lifestyle range of ceramic tiles to entry, kitchen, meals, living &amp; hallway as shown on plan</t>
  </si>
  <si>
    <t>Lifestyle range of ceramic floor tiles to bathroom, ensuite, laundry &amp; WC with 100mm high skirting tile (sizes up to 450mm x 450mm)</t>
  </si>
  <si>
    <t>YARD ITEMS</t>
  </si>
  <si>
    <t>Two external taps on home and one tap at the water meter (if applicable)</t>
  </si>
  <si>
    <t>EXTERNAL CONCRETE</t>
  </si>
  <si>
    <t>50m2 of natural concrete</t>
  </si>
  <si>
    <t>POST CONSTRUCTION</t>
  </si>
  <si>
    <t>3 Month warranty service call</t>
  </si>
  <si>
    <t>10 Year structural guarantee</t>
  </si>
  <si>
    <t>Enter Base House Price Here</t>
  </si>
  <si>
    <t xml:space="preserve"> </t>
  </si>
  <si>
    <t>House base price</t>
  </si>
  <si>
    <t>Area Surcharge</t>
  </si>
  <si>
    <t>Client/s Name:</t>
  </si>
  <si>
    <t xml:space="preserve">Date: </t>
  </si>
  <si>
    <t>Concrete included</t>
  </si>
  <si>
    <t>If this item is not included in the price it must be removed from the Inclusions list</t>
  </si>
  <si>
    <t>Tiles included</t>
  </si>
  <si>
    <t>Estimate</t>
  </si>
  <si>
    <t>Contract</t>
  </si>
  <si>
    <t>Difference</t>
  </si>
  <si>
    <t>Carpet Included</t>
  </si>
  <si>
    <t xml:space="preserve">House Type: </t>
  </si>
  <si>
    <t>Miscellaneous</t>
  </si>
  <si>
    <r>
      <t>Sewer run to suit your block (</t>
    </r>
    <r>
      <rPr>
        <b/>
        <sz val="10"/>
        <rFont val="Arial"/>
        <family val="2"/>
      </rPr>
      <t>XXm</t>
    </r>
    <r>
      <rPr>
        <sz val="10"/>
        <rFont val="Arial"/>
        <family val="2"/>
      </rPr>
      <t xml:space="preserve"> of additional run)</t>
    </r>
  </si>
  <si>
    <r>
      <t>Water run to suit your block (</t>
    </r>
    <r>
      <rPr>
        <b/>
        <sz val="10"/>
        <rFont val="Arial"/>
        <family val="2"/>
      </rPr>
      <t>XXm</t>
    </r>
    <r>
      <rPr>
        <sz val="10"/>
        <rFont val="Arial"/>
        <family val="2"/>
      </rPr>
      <t xml:space="preserve"> of additional run)</t>
    </r>
  </si>
  <si>
    <r>
      <t>Stormwater run to suit your block (</t>
    </r>
    <r>
      <rPr>
        <b/>
        <sz val="10"/>
        <rFont val="Arial"/>
        <family val="2"/>
      </rPr>
      <t>XXm</t>
    </r>
    <r>
      <rPr>
        <sz val="10"/>
        <rFont val="Arial"/>
        <family val="2"/>
      </rPr>
      <t xml:space="preserve"> of additional run)</t>
    </r>
  </si>
  <si>
    <r>
      <t>Electricity run to suit your block (</t>
    </r>
    <r>
      <rPr>
        <b/>
        <sz val="10"/>
        <rFont val="Arial"/>
        <family val="2"/>
      </rPr>
      <t>XXm</t>
    </r>
    <r>
      <rPr>
        <sz val="10"/>
        <rFont val="Arial"/>
        <family val="2"/>
      </rPr>
      <t xml:space="preserve"> of additional run)</t>
    </r>
  </si>
  <si>
    <t>Gas service is to be supplied by the service provider</t>
  </si>
  <si>
    <t>LPG Gas regulator set up (Client to supply gas bottles)</t>
  </si>
  <si>
    <r>
      <t xml:space="preserve">Temporary fencing to suit your block (additional </t>
    </r>
    <r>
      <rPr>
        <b/>
        <sz val="10"/>
        <rFont val="Arial"/>
        <family val="2"/>
      </rPr>
      <t>XXm</t>
    </r>
    <r>
      <rPr>
        <sz val="10"/>
        <rFont val="Arial"/>
        <family val="2"/>
      </rPr>
      <t>)</t>
    </r>
  </si>
  <si>
    <r>
      <rPr>
        <b/>
        <sz val="10"/>
        <rFont val="Arial"/>
        <family val="2"/>
      </rPr>
      <t>XXX</t>
    </r>
    <r>
      <rPr>
        <sz val="10"/>
        <rFont val="Arial"/>
        <family val="2"/>
      </rPr>
      <t xml:space="preserve"> Class waffle pod slab with </t>
    </r>
    <r>
      <rPr>
        <b/>
        <sz val="10"/>
        <rFont val="Arial"/>
        <family val="2"/>
      </rPr>
      <t>XXXmm</t>
    </r>
    <r>
      <rPr>
        <sz val="10"/>
        <rFont val="Arial"/>
        <family val="2"/>
      </rPr>
      <t xml:space="preserve"> deep piers</t>
    </r>
    <r>
      <rPr>
        <sz val="10"/>
        <rFont val="Arial"/>
        <family val="2"/>
      </rPr>
      <t xml:space="preserve"> (price to be confirmed with soil test, if soil classification is higher or there are trees in close proximity to home extra cost may apply)</t>
    </r>
  </si>
  <si>
    <t>BUSHFIRE PRONE AREA</t>
  </si>
  <si>
    <t>Compliance with Victorian Bushfire Regulations (BAL 12.5) as investigation into your block reveals it is in a bushfire prone area</t>
  </si>
  <si>
    <t>NSW INCLUSIONS</t>
  </si>
  <si>
    <t>The NSW allowance includes one floor waste add flue the rangehood to outside. This includes Development Application for council approval</t>
  </si>
  <si>
    <t>note only</t>
  </si>
  <si>
    <t>VARIATIONS TO PLAN &amp; LIFESTYLE INCLUSIONS</t>
  </si>
  <si>
    <t>EAVES</t>
  </si>
  <si>
    <t>GENERAL MODIFICATIONS</t>
  </si>
  <si>
    <t>ENSUITE</t>
  </si>
  <si>
    <t>BATHROOM</t>
  </si>
  <si>
    <t>LIGHT FITTINGS</t>
  </si>
  <si>
    <t>ENTRANCE PACK</t>
  </si>
  <si>
    <t>Water point to fridge</t>
  </si>
  <si>
    <t>Twin bin in drawer with drawer below</t>
  </si>
  <si>
    <t>Above counter basins with tower mixers</t>
  </si>
  <si>
    <t>Tiled recess shelf to showers</t>
  </si>
  <si>
    <t>Dual shower head to ensuite</t>
  </si>
  <si>
    <t>All estimates are subject to confirmation</t>
  </si>
  <si>
    <t>CONTRACT PRICE</t>
  </si>
  <si>
    <t>Client/s Signature:……………………………………..……………………..…..</t>
  </si>
  <si>
    <t>PROGRESS PAYMENTS (HIA VICTORIA)</t>
  </si>
  <si>
    <t>Percentage %</t>
  </si>
  <si>
    <t>Stage of Payment</t>
  </si>
  <si>
    <t>Amount $</t>
  </si>
  <si>
    <t>Deposit</t>
  </si>
  <si>
    <t>Base Stage</t>
  </si>
  <si>
    <t>Frame Stage</t>
  </si>
  <si>
    <t>Lock-up Stage  A</t>
  </si>
  <si>
    <t>Lock-up Stage B</t>
  </si>
  <si>
    <t>Fixing Stage</t>
  </si>
  <si>
    <t>Completion</t>
  </si>
  <si>
    <t>GST AMOUNTS</t>
  </si>
  <si>
    <t>Building contract price excluding GST</t>
  </si>
  <si>
    <t>GST on the building contract price</t>
  </si>
  <si>
    <t>Building contract price GST inclusive</t>
  </si>
  <si>
    <t>Enter Base House Price Here Manually</t>
  </si>
  <si>
    <t>Raised portico with brick bulkhead</t>
  </si>
  <si>
    <t>Verandah to the front</t>
  </si>
  <si>
    <t>Tribeca bricks in lieu of standartd Lifestyle inclusions</t>
  </si>
  <si>
    <t>Tribeca bricks may not be available now</t>
  </si>
  <si>
    <t>2340mm high Hume Haven66 door with sidelite</t>
  </si>
  <si>
    <t>Nexion Trilock Lock to Entry Door in lieu of Lifestyle inclusion</t>
  </si>
  <si>
    <t>2550mm high ceilings</t>
  </si>
  <si>
    <t>Eaves to floor plan as per display</t>
  </si>
  <si>
    <t>95LM</t>
  </si>
  <si>
    <t>Fridge overhead cupboard</t>
  </si>
  <si>
    <t>900mm appliances with integrated rangehood in lieu of standard Lifestyle inclusions</t>
  </si>
  <si>
    <t>4 glass doors to overhead cupboard</t>
  </si>
  <si>
    <t>Twin bin in with drawer below</t>
  </si>
  <si>
    <t>4 bank of draws</t>
  </si>
  <si>
    <t>40mm stone to kitchen benchtops from standard range in lieu of laminate</t>
  </si>
  <si>
    <t>One 40mm waterfall end to kitchen breakfast bar</t>
  </si>
  <si>
    <t>Ceniza stone benchtop in lieu of standard range</t>
  </si>
  <si>
    <t>Undermount sink in lieu of standard inclusion</t>
  </si>
  <si>
    <t>Floating vanity with additional bank of draws</t>
  </si>
  <si>
    <t>Countertop vanity basins with tower mixer in lieu of standard inclusion</t>
  </si>
  <si>
    <t>Half height wall shower shelf with stone capping in lieu of glass shelf</t>
  </si>
  <si>
    <t>20mm stone to vanity benchtop in lieu of standard laminate</t>
  </si>
  <si>
    <t>2 round vanity mirros in lieu of standard inclusion</t>
  </si>
  <si>
    <t>Tile upgrade</t>
  </si>
  <si>
    <t>ENSUITE WC</t>
  </si>
  <si>
    <t>Floating vanity unit</t>
  </si>
  <si>
    <t>Countertop vanity basin with tower mixer in lieu of standard inclusion</t>
  </si>
  <si>
    <t>Freestanding bath</t>
  </si>
  <si>
    <t>Tiled shower recess</t>
  </si>
  <si>
    <t>Extend laundry benchtop only by 800mm</t>
  </si>
  <si>
    <t>Lavas gooseneck mixer in lieu of standard inclusion</t>
  </si>
  <si>
    <t xml:space="preserve">Extend front porch adding a raised portico with a rendered bulkhead </t>
  </si>
  <si>
    <t>Add gable to the front with cement sheet lining as per display</t>
  </si>
  <si>
    <t>Add two engaged brick piers to the front</t>
  </si>
  <si>
    <t>Upgrade garage door to timbergrain from standard Lifestyle inclusion</t>
  </si>
  <si>
    <t>Cement sheeting to Bed 4 &amp; Bed 1 external walls as per display</t>
  </si>
  <si>
    <t>Upgrade front door to XS45 1200mm wide in lieu of standard Lifestyle range</t>
  </si>
  <si>
    <t>Upgrade to Nexion front door handle in lieu of standard Lifestyle inclusion</t>
  </si>
  <si>
    <t>Bed 1 - 2 1809 awning overlooking windows in lieu 1818 sliding</t>
  </si>
  <si>
    <t>Study - 1815 awning overlooking window in lieu of 1815 sliding</t>
  </si>
  <si>
    <t>Lounge - 1824 awning overlooking window in lieu of 1824 sliding</t>
  </si>
  <si>
    <t>Bed 3 - 1815 awning overlooking window in lieu of 1818 sliding</t>
  </si>
  <si>
    <t>Bed 4 - 2 1809 awning overlooking window in lieu of 1818 sliding</t>
  </si>
  <si>
    <t>Tempo Façade</t>
  </si>
  <si>
    <t>Upgrade to 2550mm in lieu of standard 2400mm ceiling height</t>
  </si>
  <si>
    <t>Add feature ceiling/bulkhead to Kitchen as per display</t>
  </si>
  <si>
    <t>Eaves to Outdoor Living only</t>
  </si>
  <si>
    <t>Upgrade brick to Black Ash in lieu of standard Lifestyle range bricks</t>
  </si>
  <si>
    <t>Light sand &amp; off white cement in lieu of natural mortar</t>
  </si>
  <si>
    <t>Linear cornice to Family, Meals, Lounge, Entry, Study, Kitchen &amp; Hallway to Bed 1 in lieu of standard 75mm cove cornice</t>
  </si>
  <si>
    <t>68mm x 18mm architraves in lieu of 42mm x 18mm architraves throughout the house</t>
  </si>
  <si>
    <t>Wall cut outs between Meals &amp; Bed 1 hallway</t>
  </si>
  <si>
    <t>Note: These rates are for addition or substitution only. For deleting please contact Estimator</t>
  </si>
  <si>
    <t>Price</t>
  </si>
  <si>
    <t>Quantity</t>
  </si>
  <si>
    <t>Sub total</t>
  </si>
  <si>
    <t>Amount</t>
  </si>
  <si>
    <t>Electrical</t>
  </si>
  <si>
    <t>TV antenna</t>
  </si>
  <si>
    <t>m2</t>
  </si>
  <si>
    <t>Robes</t>
  </si>
  <si>
    <t>Site costs</t>
  </si>
  <si>
    <t>Water tank addition</t>
  </si>
  <si>
    <t>2100 litre water tank connected to toilets - POA we will need to get this quoted on a job by job basis</t>
  </si>
  <si>
    <t>WHEN OWNER SUPPLYING OWN WATER TANK ON RURAL PROPERTY                                                                                                    Upgrade Stormwater from 90mm to 100mm and allowance for 80mm pvc downpipes. Owner to supply the water tank, pressure pump and associated fittings. Owner to install the tank within 6m of the house and provide a pad for the tank. The builder will connect to the tank and the owner is responsible for the overflow and discharge. Builder will install the pressure pump and provide power for the pump which is to be located at the house.</t>
  </si>
  <si>
    <t>Stormwater, Sewer and Power</t>
  </si>
  <si>
    <t>Stormwater run</t>
  </si>
  <si>
    <t>Extra downpipe (100mmX45mm Colorbond)</t>
  </si>
  <si>
    <t>Extra downpipe (80mm PVC Round)</t>
  </si>
  <si>
    <t>Sewer (maximum 15m run, if more talk to Estimator)</t>
  </si>
  <si>
    <t xml:space="preserve">Power Single Phase (Maximum 25m Run, see estimator for quote) </t>
  </si>
  <si>
    <t>Extra Water Run (if setback more than 6m)</t>
  </si>
  <si>
    <t>Temporary Fencing Addition or Extension</t>
  </si>
  <si>
    <t>Temporary Fencing Per Lineal Metre</t>
  </si>
  <si>
    <t>BAL 12.5</t>
  </si>
  <si>
    <t>Per Job</t>
  </si>
  <si>
    <t>Allowance for BAL 12.5 compliance requirements</t>
  </si>
  <si>
    <t>Page Total</t>
  </si>
  <si>
    <t>Render</t>
  </si>
  <si>
    <t>Please pick in the following order. Then go to sheet 2.TRAVEL</t>
  </si>
  <si>
    <t>## THESE RATES APPLY ONLY FOR INVESTORS, NOT OWNER-OCCUPIERS ##</t>
  </si>
  <si>
    <t>LOUNGE</t>
  </si>
  <si>
    <t>Add wall cavity in Lounge</t>
  </si>
  <si>
    <t>Add lowline units in laminate finish on either side of gas log fire as per display with push catches</t>
  </si>
  <si>
    <t>Add floating laminate shelves I laminate finish on either side of gas log fire as per display</t>
  </si>
  <si>
    <t>Gloss finish laminate to lowline units and floating shelves in lieu of laminate as per display</t>
  </si>
  <si>
    <t>Add stria board feature wall to Lounge as per display</t>
  </si>
  <si>
    <t>FAMILY</t>
  </si>
  <si>
    <t>Add joiner made feature unit to Family as per display wit push catches</t>
  </si>
  <si>
    <t>Add 40mm standard Smartstone range stone benchtops to Kitchen in lieu of laminate</t>
  </si>
  <si>
    <t>Add 2 40mm stone waterfall ends to either side of island bench from standard Smartstone range in lieu of laminate</t>
  </si>
  <si>
    <t xml:space="preserve">Raised T-bar to island bench with 40mm stone in standard range to top and waterfall ends </t>
  </si>
  <si>
    <t>Upgrade to 40mm Borghini Naturale stone in lieu of standard range</t>
  </si>
  <si>
    <t>Add cupboard above fridge with one end panel</t>
  </si>
  <si>
    <t>Upgrade overhead cupboards and back of island bench to supermatt finish</t>
  </si>
  <si>
    <t>2 sheets</t>
  </si>
  <si>
    <t>Upgrade doors/drawers with no handles</t>
  </si>
  <si>
    <t>2 set of pot drawers</t>
  </si>
  <si>
    <t>3 top draws to wall bench</t>
  </si>
  <si>
    <t>Twin bin with drawer above</t>
  </si>
  <si>
    <t>Fingergrips in lieu of handles to draws and cupboards in Kitchen</t>
  </si>
  <si>
    <t>Upgrade to 900mm Westinghouse (WVE916SB) oven, Westinghouse (WHG955SA) cooktop and 700mm Electrolux (ERI712SA) rangehood in lieu of Lifestyle 600mm appliances</t>
  </si>
  <si>
    <t>Upgrade to double bowl undermount sink</t>
  </si>
  <si>
    <t>Upgrade to Lavas kitchen mixer</t>
  </si>
  <si>
    <t>Add 1215 sliding window in lieu of 1015 window to wall bench</t>
  </si>
  <si>
    <t>PANTRY</t>
  </si>
  <si>
    <t>Add wallbench to the pantry</t>
  </si>
  <si>
    <t>2 top draws to wall bench</t>
  </si>
  <si>
    <t>Fingergrips in lieu of handles to draws and underbench cupboards in Pantry</t>
  </si>
  <si>
    <t>Add 40mm standard Smartstone range stone benchtop to Pantry in lieu of laminate</t>
  </si>
  <si>
    <t>Upgrade to 40mm Borghini Naturale stone from standard range</t>
  </si>
  <si>
    <t>Pantry - add 0612 window above bench</t>
  </si>
  <si>
    <t>BED 1</t>
  </si>
  <si>
    <t>Add two banks of four drawers with two adjustable shelves to WIR</t>
  </si>
  <si>
    <t>Add 20mm standard Smartstone range stone benchtop to Ensuite in lieu of laminate</t>
  </si>
  <si>
    <t>Upgrade to 20mm Borghini Naturale stone in lieu of standard range</t>
  </si>
  <si>
    <t>Upgrade vanity to supermatt finish from standard laminate</t>
  </si>
  <si>
    <t>Upgrade to Omega countertop basins x2 in lieu of standard Lifestyle range</t>
  </si>
  <si>
    <t>Upgrade to Lavas tapware (x1 shower mixer &amp; x2 vessel basin mixers) in lieu of standard Lifestyle range</t>
  </si>
  <si>
    <t>Upgrade to Menzies 300mm shower head and round arm in lieu of standard Lifestyle range</t>
  </si>
  <si>
    <t>Upgrade to tiled shower shelf (1600mmX400mm) in lieu of Lifestyle range glass shelf</t>
  </si>
  <si>
    <t>x2 1200mm high x 655mm wide mirrors in lieu of standard full length mirror</t>
  </si>
  <si>
    <t>No charge</t>
  </si>
  <si>
    <t>Upgrade to back to wall toilet in lieu of standard Lifestyle range</t>
  </si>
  <si>
    <t>Square set cornice to ensuite in lieu of standard 75mm cove cornice</t>
  </si>
  <si>
    <t>BATHROOM/WC</t>
  </si>
  <si>
    <t>Add 20mm standard Smartstone range stone benchtop to Bath in lieu of laminate</t>
  </si>
  <si>
    <t>Upgrade to 20mm Borghini Naturale stone from standard range</t>
  </si>
  <si>
    <t>Upgrade to Omega countertop basin from standard Lifestyle range</t>
  </si>
  <si>
    <t>Upgrade to Lavas tapware (x2 bath/shr misers, x1 bath spout &amp; x1 vessel basin mixer) in lieu of standard Lifestyle range</t>
  </si>
  <si>
    <t>Upgrade to tiled shower shelf (400mmX400mm) in lieu of Lifestyle range glass shelf</t>
  </si>
  <si>
    <t>Extend laundry benchtop only by 920mm including splashback tiles</t>
  </si>
  <si>
    <t>Upgrade to barrier door to Laundry in lieu of standard flyscreen</t>
  </si>
  <si>
    <t>x44 13w downlights</t>
  </si>
  <si>
    <t>Deleted additional 18 out of Garage and left 1</t>
  </si>
  <si>
    <t>x6 3w mini downlights</t>
  </si>
  <si>
    <t>Armstrong small pendant to entry</t>
  </si>
  <si>
    <t>Proline pendant to Kitchen</t>
  </si>
  <si>
    <t>x2 Stout black pendants includes globes</t>
  </si>
  <si>
    <t>Proline black pendant to Ensuite</t>
  </si>
  <si>
    <t>Extreme vanity light</t>
  </si>
  <si>
    <t>x2 Spyda 56' black fans to Outdoor Living</t>
  </si>
  <si>
    <t>x4 Graz external light in black</t>
  </si>
  <si>
    <t>x1 Hardy bunker in black</t>
  </si>
  <si>
    <t>Upgrade light switches and powerpoints to Iconic from Clipsal 2000 series</t>
  </si>
  <si>
    <t>36 Light points</t>
  </si>
  <si>
    <t>61 Install light fittings</t>
  </si>
  <si>
    <t>2 Install ceiling fans</t>
  </si>
  <si>
    <t>TBC</t>
  </si>
  <si>
    <t>Add Navigator controller to heating and cooling in lieu of standard separate controls</t>
  </si>
  <si>
    <t>Add gas log fire to Lounge</t>
  </si>
  <si>
    <t>Add underfloor heating to Ensuite</t>
  </si>
  <si>
    <t>Add underfloor heating to Bath</t>
  </si>
  <si>
    <t>Floor to ceiling tiles in ensuite</t>
  </si>
  <si>
    <t>Tile upgrade to Ensuite (TBC)</t>
  </si>
  <si>
    <t>Floor to shower height tiles in bathroom</t>
  </si>
  <si>
    <t>Tile upgrade to Bath (TBC)</t>
  </si>
  <si>
    <t>Tile upgrade for remaining areas (TBC)</t>
  </si>
  <si>
    <t>Upgrade carpet to Godfrey Hirst</t>
  </si>
  <si>
    <t>WINDOW COVERINGS</t>
  </si>
  <si>
    <t>Allowance for blinds (TBC)</t>
  </si>
  <si>
    <t>Fencing</t>
  </si>
  <si>
    <t>Wall mounted clothesline</t>
  </si>
  <si>
    <t>Landscaping</t>
  </si>
  <si>
    <t>Exposed aggregate paving to Porch - 13.26m2</t>
  </si>
  <si>
    <t>Exposed aggregate paving to Outdoor Living - 30m2</t>
  </si>
  <si>
    <t>Exposed aggregate paving to display office path - 29m2</t>
  </si>
  <si>
    <t>Exposed aggregate paving to driveway - 41m2</t>
  </si>
  <si>
    <t>Exposed aggregate paving to walkway at the front - 24m2</t>
  </si>
  <si>
    <t>Exposed aggregate paving to walkway and clothesline area - 19m2</t>
  </si>
  <si>
    <t>Exposed aggregate paving to mower strip as per display home - 36lm</t>
  </si>
  <si>
    <t>Crossover up to 12m2 in natural concrete including permits</t>
  </si>
  <si>
    <t>Full height awning windows to the front, single glazed</t>
  </si>
  <si>
    <t>Raked Ceiling to family/dining &amp; outdoor living includes highlight window with square set cornice to family, dining &amp; kitchen</t>
  </si>
  <si>
    <t>Linear cornice to Entry, Lounge, Study, Foyer, Bed 1, WIR 1 &amp; 2 &amp; Ensuite</t>
  </si>
  <si>
    <t>Shirt stackers to WIR 1 &amp; WIR 2 (2 in total)</t>
  </si>
  <si>
    <t>92mm skirtings throughout in lieu of 68mm</t>
  </si>
  <si>
    <t>R2.0 Insulation to internal walls to bath, WC, WIL &amp; laundry</t>
  </si>
  <si>
    <t>DOORS</t>
  </si>
  <si>
    <t>FEATURE WALLS</t>
  </si>
  <si>
    <t>Scallop 45 Feature Wall to retreat</t>
  </si>
  <si>
    <t>Scallop 45 Feature Wall to bed 1</t>
  </si>
  <si>
    <t>Wainscotting feature wall to lounge</t>
  </si>
  <si>
    <t>KITCHEN-2 &amp; WC-2 OPTION</t>
  </si>
  <si>
    <t>Extend floor area for kitchen and add internal walls</t>
  </si>
  <si>
    <t>Lifestyle range tiles to kitchen-2 floor</t>
  </si>
  <si>
    <t>Kitchen wall bench with sink</t>
  </si>
  <si>
    <t>Separate WC with window</t>
  </si>
  <si>
    <t>Swing door in lieu of sliding to outside</t>
  </si>
  <si>
    <t>4 glass doors to appliance cupboard</t>
  </si>
  <si>
    <t>Barnyard profile cabinetry doors (allowance only, price TBC)</t>
  </si>
  <si>
    <t>Oliveri Pepe swivel sink mixer in lieu of standard inclusion</t>
  </si>
  <si>
    <t>There must be stone upgrade in the house</t>
  </si>
  <si>
    <t>Dual shower head</t>
  </si>
  <si>
    <t>Vienna toilet suite in lieu of standard inclusion</t>
  </si>
  <si>
    <t>Round vanity mirror in lieu of standard inclusion with tiles behind</t>
  </si>
  <si>
    <t>POWDER ROOM</t>
  </si>
  <si>
    <t>56 Tradetec Titan 13w LED downlights</t>
  </si>
  <si>
    <t>Tradetec Pocket 3w Mini LED downlight</t>
  </si>
  <si>
    <t>2 Lobok Bamboo pendant lights to kitchen</t>
  </si>
  <si>
    <t>Bonura small pendant to powder room</t>
  </si>
  <si>
    <t>2 Polk 30 pendant to bed 1</t>
  </si>
  <si>
    <t>31 Light points</t>
  </si>
  <si>
    <t>64 install light fittingd</t>
  </si>
  <si>
    <t>2 Two-way switches</t>
  </si>
  <si>
    <t>2 TV points</t>
  </si>
  <si>
    <t>Gas log fire to the family not including mantle</t>
  </si>
  <si>
    <t>Vinyl plank flooring in lieu of tiles</t>
  </si>
  <si>
    <t>Delano carpet in lieu of standard inclusion</t>
  </si>
  <si>
    <t>Window coverings</t>
  </si>
  <si>
    <t>Delete 50sqm of natural concrete paving</t>
  </si>
  <si>
    <t>Natural concrete crossover (up to 12m2)</t>
  </si>
  <si>
    <t>Exposed aggregate driveway as per display home</t>
  </si>
  <si>
    <t>* - Not including verandah and gable in Bed 1</t>
  </si>
  <si>
    <t>Exposed aggregate paving to porch - 7.3m2</t>
  </si>
  <si>
    <t>Exposed aggregate paving to outdoor living and rear verandah - 47.5m2</t>
  </si>
  <si>
    <t>Exposed aggregate paving front verandah - 37.8m2</t>
  </si>
  <si>
    <t>Exposed aggregate path behind ensuite - 7.7m2</t>
  </si>
  <si>
    <t>Exposed aggregate path from laundry to clotesline including pad -11.7m2</t>
  </si>
  <si>
    <t>Mower strip in exposed aggregate to the remainder of the house - 27.6m2</t>
  </si>
  <si>
    <t>ENERGY RATING</t>
  </si>
  <si>
    <t>R4.0 insulation to ceilings (house only)</t>
  </si>
  <si>
    <t>Double glazing  to lounge &amp; study</t>
  </si>
  <si>
    <t>Tile upgrade to powder room</t>
  </si>
  <si>
    <t>Tiles up to ceiling in powder splashback</t>
  </si>
  <si>
    <t>Tile upgrade to laundry</t>
  </si>
  <si>
    <t>Tile upgrade to ensuite</t>
  </si>
  <si>
    <t>Tile upgrade to bathroom</t>
  </si>
  <si>
    <t>TILE UPGRADES</t>
  </si>
  <si>
    <t>Spalshback tiles upgrade to kitchen</t>
  </si>
  <si>
    <t>2.2m high wall tiles to ensuite as per display</t>
  </si>
  <si>
    <t>1200mm high wall tiles to bathroom as per display</t>
  </si>
  <si>
    <t>2 Sarina black external lights</t>
  </si>
  <si>
    <t>Wainscotting feature wall to fireplace including tiles</t>
  </si>
  <si>
    <t>Brushed nickel tapware in lieu of standard finish to all bathrooms</t>
  </si>
  <si>
    <t>Ballina 24</t>
  </si>
  <si>
    <t>Ballina 33</t>
  </si>
  <si>
    <t>Ballina 39</t>
  </si>
  <si>
    <t>MATHOURA</t>
  </si>
  <si>
    <t>FAÇADE 1A (TRADITIONAL)</t>
  </si>
  <si>
    <t>Awning windows to façade</t>
  </si>
  <si>
    <t>Eaves to porch and bed 1</t>
  </si>
  <si>
    <t>Inc</t>
  </si>
  <si>
    <t>FAÇADE 1B (TEMPO)</t>
  </si>
  <si>
    <t>Stria board gable to porch and bed 1</t>
  </si>
  <si>
    <t>FAÇADE 1Ca (TEMPO A)</t>
  </si>
  <si>
    <t>Stria board gables</t>
  </si>
  <si>
    <t>FAÇADE 1Cb (TEMPO B)</t>
  </si>
  <si>
    <t>Overlooking windows to façade</t>
  </si>
  <si>
    <t>Render finish to brick piers</t>
  </si>
  <si>
    <t>FAÇADE 2A (CLASSIC)</t>
  </si>
  <si>
    <t>Extend porch</t>
  </si>
  <si>
    <t>FAÇADE 2B (RESORT)</t>
  </si>
  <si>
    <t>Savoy entrance door</t>
  </si>
  <si>
    <t>FAÇADE 2C (MODERN)</t>
  </si>
  <si>
    <t>590 Brick pier with capped flashing</t>
  </si>
  <si>
    <t>RHS pier to be engaged</t>
  </si>
  <si>
    <t>FAÇADE 3A (CLASSIC)</t>
  </si>
  <si>
    <t>Newington entrance door</t>
  </si>
  <si>
    <t>FAÇADE 3B (HAMPTONS B)</t>
  </si>
  <si>
    <t>115 Square painted timber posts</t>
  </si>
  <si>
    <t>Exposed painted timber beam unwrapped</t>
  </si>
  <si>
    <t>Stria board Dutch gable</t>
  </si>
  <si>
    <t>Linea board to façade</t>
  </si>
  <si>
    <t>FAÇADE 3C (HAMPTONS A)</t>
  </si>
  <si>
    <t>180 Square posts</t>
  </si>
  <si>
    <t>Render to brick piers and bed 1</t>
  </si>
  <si>
    <t>FAÇADE 4A (CLASSIC 4A)</t>
  </si>
  <si>
    <t>Sliding windows throughout</t>
  </si>
  <si>
    <t>Eaves to porch and lounge</t>
  </si>
  <si>
    <t>FAÇADE 4B (RESORT 4B)</t>
  </si>
  <si>
    <t>FAÇADE 4Ca (MODERN)</t>
  </si>
  <si>
    <t>Linea board to lounge</t>
  </si>
  <si>
    <t>Render finish to lounge brick base</t>
  </si>
  <si>
    <t>FAÇADE 4Cb (GRANGE)</t>
  </si>
  <si>
    <t>FAÇADE 5A (CLASSIC)</t>
  </si>
  <si>
    <t>FAÇADE 5B (RESORT)</t>
  </si>
  <si>
    <t>Full height awning windows to façade</t>
  </si>
  <si>
    <t>470 brick piers X3 with capped flashing</t>
  </si>
  <si>
    <t>FACADE 5C (ASCENT)</t>
  </si>
  <si>
    <t>Piers - sizes vary</t>
  </si>
  <si>
    <t>Linea boards to ensuite</t>
  </si>
  <si>
    <t>14 degrees skillion roof</t>
  </si>
  <si>
    <t>Flat roof to porch</t>
  </si>
  <si>
    <t>Tile finish to 950 pier</t>
  </si>
  <si>
    <t>Render (Masterwall)</t>
  </si>
  <si>
    <t>FAÇADE 6A (TRADITIONAL)</t>
  </si>
  <si>
    <t>Eaves to porch, bed1 &amp; lounge</t>
  </si>
  <si>
    <t>FAÇADE 6B (RESORT)</t>
  </si>
  <si>
    <t>FACADE 6C (COASTAL)</t>
  </si>
  <si>
    <t>Ovelooking awning windows to façade</t>
  </si>
  <si>
    <t>590x470 Brick piers with capped flashing</t>
  </si>
  <si>
    <t>Exposed painted timber beam</t>
  </si>
  <si>
    <t>180mm painted timber posts</t>
  </si>
  <si>
    <t>Engaged brick piers behind porch</t>
  </si>
  <si>
    <t>Linea board to bed 1 &amp; lounge</t>
  </si>
  <si>
    <t xml:space="preserve">Raised portico </t>
  </si>
  <si>
    <t>FAÇADE 7A</t>
  </si>
  <si>
    <t>Add verandah</t>
  </si>
  <si>
    <t>Brick bulkhead</t>
  </si>
  <si>
    <t>FAÇADE 7B</t>
  </si>
  <si>
    <t>Extend porch &amp; add engaged brick pier</t>
  </si>
  <si>
    <t>Double gables with striaboard lining</t>
  </si>
  <si>
    <t>FAÇADE 7C</t>
  </si>
  <si>
    <t>Raised skillion roof with stria cladding</t>
  </si>
  <si>
    <t>Linea weatherboard cladding</t>
  </si>
  <si>
    <t>FAÇADE 7D</t>
  </si>
  <si>
    <t>590 Brick piers with capped flashing</t>
  </si>
  <si>
    <t>OUTDOOR LIVING/FAMILY/MEALS</t>
  </si>
  <si>
    <t>Raised ceiling (3000mm) through Family, Meals &amp; Outdoor Living with a Striaboard bulkhead in lieu of 2550mm</t>
  </si>
  <si>
    <t>Upgrade to 2618 boutique sliding doors in lieu of 2136 sliding door &amp; 1821 sliding window between Outdoor Living and Family/Meals (no flyscreens)</t>
  </si>
  <si>
    <t>Price rise allowance</t>
  </si>
  <si>
    <t>Pick the closest floor plan and add the items</t>
  </si>
  <si>
    <t>This sheet is good for adding area, NOT deleting</t>
  </si>
  <si>
    <t>QGEN000_0040_DWELLING</t>
  </si>
  <si>
    <t>QGEN000_0060_GARAGE</t>
  </si>
  <si>
    <t>QGEN000_0070_PORCH</t>
  </si>
  <si>
    <t>QGEN000_0080_OUTDOOR_LIVING</t>
  </si>
  <si>
    <t>QGEN340_0510_BRICK_PIER_QUANTITY</t>
  </si>
  <si>
    <t>QGEN385_0030_EAVE_TYPE_450_BRICKWORK</t>
  </si>
  <si>
    <t>QGEN200_1030_HIP</t>
  </si>
  <si>
    <t>QGEN200_1040_VALLEY_LENGTH</t>
  </si>
  <si>
    <t>QGEN200_1050_RIDGE</t>
  </si>
  <si>
    <t>QGEN205_0210_EXT_PERIMETER_WALL_BV</t>
  </si>
  <si>
    <t>QGEN205_0250_INT_WALL</t>
  </si>
  <si>
    <t>QGEN500_1050_BULKHEAD_LENGTH</t>
  </si>
  <si>
    <t>QGEN520_0030_KITCHEN_CABINET_LENGTH</t>
  </si>
  <si>
    <t>QGEN520_0070_KITCHEN_OH_LENGTH</t>
  </si>
  <si>
    <t>QGEN520_0110_ISLAND_BENCH_WITH_OVERHANG</t>
  </si>
  <si>
    <t>Ensuite vanity benches</t>
  </si>
  <si>
    <t>Ensuite vanity basins</t>
  </si>
  <si>
    <t>Bath vanity benches</t>
  </si>
  <si>
    <t>Bath vanity basins</t>
  </si>
  <si>
    <t>Extra vanity benches</t>
  </si>
  <si>
    <t>Extra vanity basins</t>
  </si>
  <si>
    <t>QGEN520_0230_VANITY_GF_ENSUITE_WIDTH</t>
  </si>
  <si>
    <t>QGEN520_0330_VANITY_GF_BATHROOM_WIDTH</t>
  </si>
  <si>
    <t>QGEN520_0250_VANITY_GF_ENSUITE_BASIN</t>
  </si>
  <si>
    <t>QGEN520_0350_VANITY_GF_BATHROOM_BASIN</t>
  </si>
  <si>
    <t>QGEN520_0430_VANITY_GF_ADDITIONAL_WIDTH</t>
  </si>
  <si>
    <t>QGEN520_0450_VANITY_GF_ADDITIONAL_BASIN</t>
  </si>
  <si>
    <t>QGEN520_0485_LAUNDRY_BASE_CUPBOARD</t>
  </si>
  <si>
    <t>90x90 steel columns</t>
  </si>
  <si>
    <t>Perimeter walls</t>
  </si>
  <si>
    <t>Kitchen overhead cupboard</t>
  </si>
  <si>
    <t>Ens vanity bench</t>
  </si>
  <si>
    <t>Ens vanity basin</t>
  </si>
  <si>
    <t>Bath vanity bench</t>
  </si>
  <si>
    <t>Bath vanity basin</t>
  </si>
  <si>
    <t>Extra vanity bench</t>
  </si>
  <si>
    <t>Extra vanity basin</t>
  </si>
  <si>
    <t>Internal swing door</t>
  </si>
  <si>
    <t>Internal double swing door</t>
  </si>
  <si>
    <t>Internal double cavity slider</t>
  </si>
  <si>
    <t>External swing door Entry</t>
  </si>
  <si>
    <t>External swing door Garage</t>
  </si>
  <si>
    <t>Built-in robes/linens</t>
  </si>
  <si>
    <t>1800mm to 2500mm wide</t>
  </si>
  <si>
    <t>2500mm to 3000mm wide</t>
  </si>
  <si>
    <t>Robe shelving wth hanging rail</t>
  </si>
  <si>
    <t>lm</t>
  </si>
  <si>
    <t>each</t>
  </si>
  <si>
    <t>Inglewood 35</t>
  </si>
  <si>
    <t>SANDOWN TEMPO FAÇADE</t>
  </si>
  <si>
    <t>Engaged brick piers</t>
  </si>
  <si>
    <t>Cement sheet cladding to Bed 1 &amp; 4</t>
  </si>
  <si>
    <t>BALLINA ASCENT</t>
  </si>
  <si>
    <t>BALLINA HAMPTONS</t>
  </si>
  <si>
    <t>BALLINA RIDGE</t>
  </si>
  <si>
    <t>BALLINA ASCENT FEATURE PIER</t>
  </si>
  <si>
    <t>Skillion roof with striaboard cladding</t>
  </si>
  <si>
    <t>Extra high brick pier to bed 4</t>
  </si>
  <si>
    <t>Allowance for feature bricks, to be confirmed after colour selection</t>
  </si>
  <si>
    <t>BALLINA ASCENT RENDER</t>
  </si>
  <si>
    <t>Render to the front of house</t>
  </si>
  <si>
    <t>Nexion Trilock handle</t>
  </si>
  <si>
    <t>3 X Wall mounted feature lights to the front façade with motion sensor</t>
  </si>
  <si>
    <t>3 X Pendant lights above island bench</t>
  </si>
  <si>
    <t>Full height awning windows</t>
  </si>
  <si>
    <t>Ballina Ridge façade with Newtechwood</t>
  </si>
  <si>
    <t>INGLEWOOD 26 MODERN HOMESTEAD</t>
  </si>
  <si>
    <t>Verandah around bed 2 &amp; lounge (1500mm)</t>
  </si>
  <si>
    <t>INGLEWOOD 29 MODERN HOMESTEAD</t>
  </si>
  <si>
    <t>INGLEWOOD 31 MODERN HOMESTEAD</t>
  </si>
  <si>
    <t>INGLEWOOD 34 MODERN HOMESTEAD</t>
  </si>
  <si>
    <t>Verandah around lounge, study, bed 2, 3 &amp; 4 (1500mm)</t>
  </si>
  <si>
    <t>INGLEWOOD 35 MODERN HOMESTEAD</t>
  </si>
  <si>
    <t>Verandah around lounge &amp; study (1500mm)</t>
  </si>
  <si>
    <t>INGLEWOOD 38 MODERN HOMESTEAD</t>
  </si>
  <si>
    <t>INGLEWOOD 26 COUNTRY HOMESTEAD</t>
  </si>
  <si>
    <t>Lineaboard cladding</t>
  </si>
  <si>
    <t>INGLEWOOD 29 COUNTRY HOMESTEAD</t>
  </si>
  <si>
    <t>INGLEWOOD 31 COUNTRY HOMESTEAD</t>
  </si>
  <si>
    <t>INGLEWOOD 34 COUNTRY HOMESTEAD</t>
  </si>
  <si>
    <t>INGLEWOOD 35 COUNTRY HOMESTEAD</t>
  </si>
  <si>
    <t>INGLEWOOD 38 COUNTRY HOMESTEAD</t>
  </si>
  <si>
    <t>For all investor jobs, please take 1.25% off the base price in this list</t>
  </si>
  <si>
    <t>## FOR OWNER-OCCUPIERS PLEASE USE THE MAIN PRICE LIST ##</t>
  </si>
  <si>
    <t>90cm Inbuilt oven &amp; gas cooktop</t>
  </si>
  <si>
    <t>70cm Intergrated rangehood</t>
  </si>
  <si>
    <t>2 Banks of drawers</t>
  </si>
  <si>
    <t>1000mm with one side panel</t>
  </si>
  <si>
    <t>KITCHEN BENCHTOP PACK</t>
  </si>
  <si>
    <t xml:space="preserve">20mm Stone benchtop </t>
  </si>
  <si>
    <t>(3.2m wall bench &amp; 2.7m island)</t>
  </si>
  <si>
    <t>Undermount sink</t>
  </si>
  <si>
    <t xml:space="preserve">20mm Stone vanity benchtops </t>
  </si>
  <si>
    <t>(up to 1 x 1800mm &amp; 1 x 900mm)</t>
  </si>
  <si>
    <t>x3</t>
  </si>
  <si>
    <t>Extend bench &amp; cabinets up to 2m</t>
  </si>
  <si>
    <t>Pull out clothesbasket</t>
  </si>
  <si>
    <t>30 X LED downlights</t>
  </si>
  <si>
    <t>replaces 15 light points</t>
  </si>
  <si>
    <t>220 per pendant</t>
  </si>
  <si>
    <r>
      <rPr>
        <b/>
        <sz val="13"/>
        <color rgb="FFFF0000"/>
        <rFont val="Calibri"/>
        <family val="2"/>
        <scheme val="minor"/>
      </rPr>
      <t>NOTE:</t>
    </r>
    <r>
      <rPr>
        <sz val="13"/>
        <color rgb="FFFF0000"/>
        <rFont val="Calibri"/>
        <family val="2"/>
        <scheme val="minor"/>
      </rPr>
      <t xml:space="preserve"> All travel rates are applicable for jobs up to 20kms from the specified towns</t>
    </r>
  </si>
  <si>
    <t xml:space="preserve">Plain </t>
  </si>
  <si>
    <t xml:space="preserve">2340mm high flush panel internal doors (12 doors) </t>
  </si>
  <si>
    <t>Hume Sorrento SOR internal doors (12 doors)</t>
  </si>
  <si>
    <t>2340mm high vinyl sliding doors to robes</t>
  </si>
  <si>
    <t>Seed</t>
  </si>
  <si>
    <t>Turf</t>
  </si>
  <si>
    <t>Turf with excavation</t>
  </si>
  <si>
    <t>600m2</t>
  </si>
  <si>
    <t>800m2</t>
  </si>
  <si>
    <t>Nature strip</t>
  </si>
  <si>
    <t>Corner block</t>
  </si>
  <si>
    <t>600m2 normal block</t>
  </si>
  <si>
    <t>600m2 corner block</t>
  </si>
  <si>
    <t>800m2 normal block</t>
  </si>
  <si>
    <t>800m2 corner block</t>
  </si>
  <si>
    <t>LANDSCAPING PRICES</t>
  </si>
  <si>
    <t xml:space="preserve">Seed </t>
  </si>
  <si>
    <t>Includes automated sprinkler sytem</t>
  </si>
  <si>
    <t>Size</t>
  </si>
  <si>
    <t>External power point</t>
  </si>
  <si>
    <t>Credit $600 to go down to a manual system</t>
  </si>
  <si>
    <t>Septic system supplied and installed by Owner, costs associated for Builders works</t>
  </si>
  <si>
    <t>Draftee travel per km</t>
  </si>
  <si>
    <t>Truck cost per km</t>
  </si>
  <si>
    <t>Carpenter travel per km</t>
  </si>
  <si>
    <t>Supervisor tavel per km</t>
  </si>
  <si>
    <t>Concrete pump travel</t>
  </si>
  <si>
    <t>Stone benchtops</t>
  </si>
  <si>
    <t>Kms</t>
  </si>
  <si>
    <t>Cost per km return</t>
  </si>
  <si>
    <t>Bunnings delivery</t>
  </si>
  <si>
    <t>Drafting inspwction travel</t>
  </si>
  <si>
    <t>Temp fencing travel</t>
  </si>
  <si>
    <t>Skip run</t>
  </si>
  <si>
    <t>site screpe travel</t>
  </si>
  <si>
    <t>Crusher dust</t>
  </si>
  <si>
    <t>Concrete supply</t>
  </si>
  <si>
    <t>Pump travel</t>
  </si>
  <si>
    <t>Bricks delivery</t>
  </si>
  <si>
    <t>Brick sand</t>
  </si>
  <si>
    <t>Stone travel</t>
  </si>
  <si>
    <t>Supervisor travel</t>
  </si>
  <si>
    <t>NSW</t>
  </si>
  <si>
    <t>Km</t>
  </si>
  <si>
    <t>120km</t>
  </si>
  <si>
    <t>71km</t>
  </si>
  <si>
    <t>62km</t>
  </si>
  <si>
    <t>135km</t>
  </si>
  <si>
    <t>137KM</t>
  </si>
  <si>
    <t xml:space="preserve">49km </t>
  </si>
  <si>
    <t>29km</t>
  </si>
  <si>
    <t>158km</t>
  </si>
  <si>
    <t>37km</t>
  </si>
  <si>
    <t>125km</t>
  </si>
  <si>
    <t>103km</t>
  </si>
  <si>
    <t>43km</t>
  </si>
  <si>
    <t>60km</t>
  </si>
  <si>
    <t>40km</t>
  </si>
  <si>
    <t>35km</t>
  </si>
  <si>
    <t>70km</t>
  </si>
  <si>
    <t>48km</t>
  </si>
  <si>
    <t>86km</t>
  </si>
  <si>
    <t>42km</t>
  </si>
  <si>
    <t>56km</t>
  </si>
  <si>
    <t>20km</t>
  </si>
  <si>
    <t>57km</t>
  </si>
  <si>
    <t>59km</t>
  </si>
  <si>
    <t>78km</t>
  </si>
  <si>
    <t>119km</t>
  </si>
  <si>
    <t>Bunnings delivery - (205, 350, 385, 395) Added extra delivery Load 5 on 545 Fix materials</t>
  </si>
  <si>
    <t>Drafting  Inspection travel</t>
  </si>
  <si>
    <t>Soil test (020)</t>
  </si>
  <si>
    <t>Building Surveyour (080)</t>
  </si>
  <si>
    <t>Council charges</t>
  </si>
  <si>
    <t>Temp fencing travel (100)</t>
  </si>
  <si>
    <t>Toilet hire (105)</t>
  </si>
  <si>
    <t>Forklift travel (105)</t>
  </si>
  <si>
    <t>Skip truck travel (115)</t>
  </si>
  <si>
    <t>Set out travel (125)</t>
  </si>
  <si>
    <t>Drainer travel (135)</t>
  </si>
  <si>
    <t>Stormy travel</t>
  </si>
  <si>
    <t>Waffle pod delivery (145)</t>
  </si>
  <si>
    <t>Crusher dust (allow 35 M3)</t>
  </si>
  <si>
    <t>Concreter machine travel (150)</t>
  </si>
  <si>
    <t>Concreter labour travel (150)</t>
  </si>
  <si>
    <t>Concreter labour accommodation</t>
  </si>
  <si>
    <t>Site scrape travel</t>
  </si>
  <si>
    <t>Concrete supply - allow 60 m3 (155)</t>
  </si>
  <si>
    <t>Concrete pump travel (160)</t>
  </si>
  <si>
    <t>Trusses (200)</t>
  </si>
  <si>
    <t>Framer travel (210)</t>
  </si>
  <si>
    <t>Framer accommodation</t>
  </si>
  <si>
    <t>Roofing delivery (315)</t>
  </si>
  <si>
    <t>Plumber travel (330)</t>
  </si>
  <si>
    <t>Electrician travel (335)</t>
  </si>
  <si>
    <t>Inspection fee</t>
  </si>
  <si>
    <t>Brick delivery for 8000 (340)</t>
  </si>
  <si>
    <t>Brick sand 9 m3 (345)</t>
  </si>
  <si>
    <t>Bricklayer travel (360)</t>
  </si>
  <si>
    <t>Eaves carpenter travel (390)</t>
  </si>
  <si>
    <t>Lock up travel (405)</t>
  </si>
  <si>
    <t>Insulation walls (445)</t>
  </si>
  <si>
    <t>Brick cleaner (450)</t>
  </si>
  <si>
    <t>Plaster delivery - allow 800 m2 (500)</t>
  </si>
  <si>
    <t>Plasterer travel (505)</t>
  </si>
  <si>
    <t>Water proofer travel (510)</t>
  </si>
  <si>
    <t>Stone benchtop (530)</t>
  </si>
  <si>
    <t>Fix carpenter travel (555)</t>
  </si>
  <si>
    <t>Fit off travel (565)</t>
  </si>
  <si>
    <t>Tiler travel (605)</t>
  </si>
  <si>
    <t>Painter travel (610)</t>
  </si>
  <si>
    <t>Shower screens (615)</t>
  </si>
  <si>
    <t>Garage door (625)</t>
  </si>
  <si>
    <t>Paving machine travel (640)</t>
  </si>
  <si>
    <t>Site clean travel (included above)</t>
  </si>
  <si>
    <t>House clean (705)</t>
  </si>
  <si>
    <t>Supervisor travel (710)</t>
  </si>
  <si>
    <t>NSW charges</t>
  </si>
  <si>
    <t>DA fee</t>
  </si>
  <si>
    <t>Insurance</t>
  </si>
  <si>
    <t>Floor waste</t>
  </si>
  <si>
    <t>Hi-impact poly</t>
  </si>
  <si>
    <t>Whirly bird</t>
  </si>
  <si>
    <t>Flue rangehood</t>
  </si>
  <si>
    <t>Date</t>
  </si>
  <si>
    <t>Ballina 30A</t>
  </si>
  <si>
    <t>Insulation ceilings (675)</t>
  </si>
  <si>
    <t>Bricklayer labour extra for 8000 (360)</t>
  </si>
  <si>
    <t>This preliminary pricing is provided as a guide and is subject to review after 60 days.</t>
  </si>
  <si>
    <t>Sandown 41 MG</t>
  </si>
  <si>
    <t>Sandown 40 MG</t>
  </si>
  <si>
    <t>Sandown 34 MG</t>
  </si>
  <si>
    <t>Stormwater run double pipe (for more than 10LM)</t>
  </si>
  <si>
    <t>Water connection (050)</t>
  </si>
  <si>
    <t>1200mm x 2040mm timber glass front door</t>
  </si>
  <si>
    <t>KITCHEN CABINETRY PACK</t>
  </si>
  <si>
    <t>KITCHEN APPLIANCE PACK</t>
  </si>
  <si>
    <t>BATHROOM/ENSUITE INDULGENT PACK</t>
  </si>
  <si>
    <t>LAUNDRY INDULGENT PACK</t>
  </si>
  <si>
    <t>LIGHTING PACK 1</t>
  </si>
  <si>
    <t>LIGHTING PACK 2</t>
  </si>
  <si>
    <t>LIGHTING PACK 3</t>
  </si>
  <si>
    <t>Bunting &amp; pickets at Benalla</t>
  </si>
  <si>
    <t>20mm stone to powder benchtop in lieu of standard laminate</t>
  </si>
  <si>
    <t>Iconic switches in vivid white in lieu of standsard Clipsal</t>
  </si>
  <si>
    <t>7 Star Allowance</t>
  </si>
  <si>
    <t>Allowance for 7 star energy rating (to be confirmed)</t>
  </si>
  <si>
    <t>7Star</t>
  </si>
  <si>
    <t>Maldon 23</t>
  </si>
  <si>
    <t>Paving Rates</t>
  </si>
  <si>
    <t>Natural</t>
  </si>
  <si>
    <t>Exp Aggregate</t>
  </si>
  <si>
    <t>BELLCAST HOMESTEAD 1500mm VERANDAH*</t>
  </si>
  <si>
    <t>* - A minimum ceiling height of 2550mm is required for adding a verandah</t>
  </si>
  <si>
    <t>Extend porch (9.8m2 allowed)</t>
  </si>
  <si>
    <t>2 Engaged brick piers</t>
  </si>
  <si>
    <t>Full height feature awning window 1821 single glazed</t>
  </si>
  <si>
    <t>Lightweight clad rendered bulkhead</t>
  </si>
  <si>
    <t>Newtechwood cladding to porch ceiling</t>
  </si>
  <si>
    <t>Ashley 28A</t>
  </si>
  <si>
    <t>Stria infill to skillion</t>
  </si>
  <si>
    <t>Linea board to bed 1</t>
  </si>
  <si>
    <t>Full length awning windows to façade</t>
  </si>
  <si>
    <t xml:space="preserve">Perimeter moulding around gable panels with one vent </t>
  </si>
  <si>
    <t>Raised portico with stria infill or Newtechwood cladding</t>
  </si>
  <si>
    <t>3/4 470 Brick piers with brick capping</t>
  </si>
  <si>
    <t>Stria board Dutch gable with perimeter moulding and vent</t>
  </si>
  <si>
    <t>Raised prtico with stria bulkhead or Newtechwood cladding</t>
  </si>
  <si>
    <t>Tile finish to RHS brick pier</t>
  </si>
  <si>
    <t>590x470 Brick piers</t>
  </si>
  <si>
    <t>Raised porch with stria or newtechwod cladding infill</t>
  </si>
  <si>
    <t>Raised porch with stria or newtechwood bulkhead</t>
  </si>
  <si>
    <t>200mmX200mm oiled ironbark posts</t>
  </si>
  <si>
    <t>Raised porch with gable</t>
  </si>
  <si>
    <t>Raised porch with brick bulkhead</t>
  </si>
  <si>
    <t>PARKDALE 30 DISPLAY FAÇADE*</t>
  </si>
  <si>
    <t>Raised porch with infill brick wall</t>
  </si>
  <si>
    <t>2 X 710mm wider piers to porch</t>
  </si>
  <si>
    <t>* - Maximum width of the porch to be 6.5m</t>
  </si>
  <si>
    <t>Raised masterwall bulkhead with render</t>
  </si>
  <si>
    <t>Disclaimer: Façade costings only include porches, windows, cladding, gables etc.                                                                                                                                               Does not include features like lights, upgraded front or garage door, feature or upgraded bricks etc.</t>
  </si>
  <si>
    <t>R6.0 Insulation batts to ceiling (excludes garage ceiling)</t>
  </si>
  <si>
    <t>R2.5 Insulation batts plus sisalation paper to external walls (excludes garage external walls)</t>
  </si>
  <si>
    <t>R6.0 Ceiling insulation and R2.5 external wall insulation</t>
  </si>
  <si>
    <t>Allowance for additional 7 star energy rating and whole of home requirements (to be confirmed)</t>
  </si>
  <si>
    <t>101km</t>
  </si>
  <si>
    <t>Add engaged brick pier</t>
  </si>
  <si>
    <t>Facade pricing July 2024</t>
  </si>
  <si>
    <t>Maldon 33</t>
  </si>
  <si>
    <t>Post Slab Inspection Travel (135)</t>
  </si>
  <si>
    <t>Kiewa 15</t>
  </si>
  <si>
    <t>Kiewa 17</t>
  </si>
  <si>
    <t>Kiewa 18</t>
  </si>
  <si>
    <t>Kiewa 21</t>
  </si>
  <si>
    <t>Ashley 21</t>
  </si>
  <si>
    <t>LIFESTYLE VALUE PACKS - NOV 2024</t>
  </si>
  <si>
    <t>Independent 7 star energy rating and whole of home assessment</t>
  </si>
  <si>
    <t>Fixing Stage A</t>
  </si>
  <si>
    <t>Fixing Stage B</t>
  </si>
  <si>
    <t>POA for any job outside 20km from town centre location as per google maps</t>
  </si>
  <si>
    <t>Ashley 22A</t>
  </si>
  <si>
    <t>Bonus</t>
  </si>
  <si>
    <t>Up to 24 sq</t>
  </si>
  <si>
    <t>Above 24 sq</t>
  </si>
  <si>
    <t>Bonus will be reviewed in August 2025</t>
  </si>
  <si>
    <t>*TILES &amp; CARPET</t>
  </si>
  <si>
    <t>Check with Scott for price rise allowance</t>
  </si>
  <si>
    <t>Solar pnel travel</t>
  </si>
  <si>
    <t>Soalr panel travel</t>
  </si>
  <si>
    <t>23/06/25 - Add $50 for TV Antenna Install</t>
  </si>
  <si>
    <t>Ashfield 30A</t>
  </si>
  <si>
    <t>Lonsdale 24</t>
  </si>
  <si>
    <t>Lonsdale 27</t>
  </si>
  <si>
    <t>Lonsdale 28A</t>
  </si>
  <si>
    <t>Lonsdale 28B</t>
  </si>
  <si>
    <t>Lonsdale 28C</t>
  </si>
  <si>
    <r>
      <rPr>
        <b/>
        <sz val="16"/>
        <color indexed="62"/>
        <rFont val="Arial"/>
        <family val="2"/>
      </rPr>
      <t>LIFESTYLE</t>
    </r>
    <r>
      <rPr>
        <sz val="16"/>
        <rFont val="Arial"/>
        <family val="2"/>
      </rPr>
      <t xml:space="preserve"> SINGLE STOREY PRICE LIST VALID UP TO DEC 2025</t>
    </r>
  </si>
  <si>
    <r>
      <rPr>
        <b/>
        <sz val="16"/>
        <color indexed="62"/>
        <rFont val="Arial"/>
        <family val="2"/>
      </rPr>
      <t>LIFESTYLE</t>
    </r>
    <r>
      <rPr>
        <sz val="16"/>
        <rFont val="Arial"/>
        <family val="2"/>
      </rPr>
      <t xml:space="preserve"> HOMESTEAD PRICE LIST VALID UP TO DEC 2025</t>
    </r>
  </si>
  <si>
    <r>
      <rPr>
        <b/>
        <sz val="16"/>
        <color indexed="62"/>
        <rFont val="Arial"/>
        <family val="2"/>
      </rPr>
      <t>LIFESTYLE</t>
    </r>
    <r>
      <rPr>
        <sz val="16"/>
        <rFont val="Arial"/>
        <family val="2"/>
      </rPr>
      <t xml:space="preserve"> NARROW BLOCK PRICE LIST VALID UP TO DEC 2025</t>
    </r>
  </si>
  <si>
    <r>
      <rPr>
        <b/>
        <sz val="16"/>
        <color indexed="62"/>
        <rFont val="Arial"/>
        <family val="2"/>
      </rPr>
      <t>LIFESTYLE</t>
    </r>
    <r>
      <rPr>
        <sz val="16"/>
        <rFont val="Arial"/>
        <family val="2"/>
      </rPr>
      <t xml:space="preserve"> 20 x 20 BLOCK PRICE LIST VALID UP TO DEC 2025</t>
    </r>
  </si>
  <si>
    <t>Revise price list at end of August</t>
  </si>
  <si>
    <r>
      <rPr>
        <b/>
        <sz val="16"/>
        <color indexed="57"/>
        <rFont val="Arial"/>
        <family val="2"/>
      </rPr>
      <t>INVESTOR</t>
    </r>
    <r>
      <rPr>
        <sz val="16"/>
        <rFont val="Arial"/>
        <family val="2"/>
      </rPr>
      <t xml:space="preserve"> PRICE LIST VALID UP TO DECEMBER 2025</t>
    </r>
  </si>
  <si>
    <t>July 2025 Pricelist - Sijo added 5 %</t>
  </si>
  <si>
    <t>FAST KEYS INCLUSIONS</t>
  </si>
  <si>
    <t>Gas service is to be supplied by the retailer (if applicable)</t>
  </si>
  <si>
    <t>100mm PVC stormwater</t>
  </si>
  <si>
    <t>Builder's range of Austral bricks with natural mortar &amp; raked joints</t>
  </si>
  <si>
    <t>Front door - Hume Vaucluse solid core door with Lockwood Symmetry entry set</t>
  </si>
  <si>
    <t xml:space="preserve">External swing door </t>
  </si>
  <si>
    <t xml:space="preserve">Whitco door furniture to hinged doors </t>
  </si>
  <si>
    <t>60cm stainless steel multifunction electric underbench oven</t>
  </si>
  <si>
    <t>60cm stainless steel cooktop</t>
  </si>
  <si>
    <t>60cm stainless steel canopy rangehood</t>
  </si>
  <si>
    <t>Joinery made base cabinet with laminate benchtop</t>
  </si>
  <si>
    <t>Soft close doors</t>
  </si>
  <si>
    <t>Vanity basin in white</t>
  </si>
  <si>
    <t>Mixer tapware in chrome</t>
  </si>
  <si>
    <t>Semi framed pivot door shower screen in polished silver with clear glass</t>
  </si>
  <si>
    <t>Back to wall toilet suites in white with soft close seat</t>
  </si>
  <si>
    <t>Utility tub &amp; cabinet in white with stainless steel bowl</t>
  </si>
  <si>
    <t>Sink mixer &amp; 1/4 turn washing machine stops</t>
  </si>
  <si>
    <t>Neopower heat pump hot water service with 280L tank</t>
  </si>
  <si>
    <t>One wall mounted split system</t>
  </si>
  <si>
    <t>Carpet with 10mm thick underlay to all bedrooms and lounge as shown on plan</t>
  </si>
  <si>
    <t>Ceramic tiles to entry, kitchen, meals, living &amp; hallway as shown on plan</t>
  </si>
  <si>
    <t>Ceramic floor tiles to bathroom, ensuite, laundry &amp; WC with 100mm high skirting tile</t>
  </si>
  <si>
    <t>One external tap on home and one tap at the water meter (if applicable)</t>
  </si>
  <si>
    <t>VARIATIONS TO PLAN &amp; FAST KEYS INCLUSIONS</t>
  </si>
  <si>
    <t>Floor Plan Extensions</t>
  </si>
  <si>
    <t>Façade</t>
  </si>
  <si>
    <t>Standard Façade</t>
  </si>
  <si>
    <t>Add Ons</t>
  </si>
  <si>
    <t>Kitchen</t>
  </si>
  <si>
    <t>Ensuite &amp; Bathroom</t>
  </si>
  <si>
    <t>Laundry</t>
  </si>
  <si>
    <t>Personalised Selections</t>
  </si>
  <si>
    <t>External Finishes</t>
  </si>
  <si>
    <t>Internal Finishes</t>
  </si>
  <si>
    <t>can we put proviso only to add if with 2550mm ceiling</t>
  </si>
  <si>
    <t xml:space="preserve">Kitchen </t>
  </si>
  <si>
    <t>Heating &amp; Cooling</t>
  </si>
  <si>
    <t>Floor Coverings &amp; Tiling</t>
  </si>
  <si>
    <t>Different costs for different upgrades?</t>
  </si>
  <si>
    <r>
      <t>Sewer run (</t>
    </r>
    <r>
      <rPr>
        <b/>
        <sz val="10"/>
        <rFont val="Calibri"/>
        <family val="2"/>
        <scheme val="minor"/>
      </rPr>
      <t>XXm</t>
    </r>
    <r>
      <rPr>
        <sz val="10"/>
        <rFont val="Calibri"/>
        <family val="2"/>
        <scheme val="minor"/>
      </rPr>
      <t xml:space="preserve"> of additional run)</t>
    </r>
  </si>
  <si>
    <r>
      <t>Water run (</t>
    </r>
    <r>
      <rPr>
        <b/>
        <sz val="10"/>
        <rFont val="Calibri"/>
        <family val="2"/>
        <scheme val="minor"/>
      </rPr>
      <t>XXm</t>
    </r>
    <r>
      <rPr>
        <sz val="10"/>
        <rFont val="Calibri"/>
        <family val="2"/>
        <scheme val="minor"/>
      </rPr>
      <t xml:space="preserve"> of additional run)</t>
    </r>
  </si>
  <si>
    <r>
      <t>Stormwater run (</t>
    </r>
    <r>
      <rPr>
        <b/>
        <sz val="10"/>
        <rFont val="Calibri"/>
        <family val="2"/>
        <scheme val="minor"/>
      </rPr>
      <t>XXm</t>
    </r>
    <r>
      <rPr>
        <sz val="10"/>
        <rFont val="Calibri"/>
        <family val="2"/>
        <scheme val="minor"/>
      </rPr>
      <t xml:space="preserve"> of additional run)</t>
    </r>
  </si>
  <si>
    <r>
      <t>Electricity run (</t>
    </r>
    <r>
      <rPr>
        <b/>
        <sz val="10"/>
        <rFont val="Calibri"/>
        <family val="2"/>
        <scheme val="minor"/>
      </rPr>
      <t>XXm</t>
    </r>
    <r>
      <rPr>
        <sz val="10"/>
        <rFont val="Calibri"/>
        <family val="2"/>
        <scheme val="minor"/>
      </rPr>
      <t xml:space="preserve"> of additional run)</t>
    </r>
  </si>
  <si>
    <r>
      <t xml:space="preserve">Temporary fencing (additional </t>
    </r>
    <r>
      <rPr>
        <b/>
        <sz val="10"/>
        <rFont val="Calibri"/>
        <family val="2"/>
        <scheme val="minor"/>
      </rPr>
      <t>XXm</t>
    </r>
    <r>
      <rPr>
        <sz val="10"/>
        <rFont val="Calibri"/>
        <family val="2"/>
        <scheme val="minor"/>
      </rPr>
      <t>)</t>
    </r>
  </si>
  <si>
    <r>
      <rPr>
        <b/>
        <sz val="10"/>
        <rFont val="Calibri"/>
        <family val="2"/>
        <scheme val="minor"/>
      </rPr>
      <t>XXX</t>
    </r>
    <r>
      <rPr>
        <sz val="10"/>
        <rFont val="Calibri"/>
        <family val="2"/>
        <scheme val="minor"/>
      </rPr>
      <t xml:space="preserve"> Class waffle pod slab with up to </t>
    </r>
    <r>
      <rPr>
        <b/>
        <sz val="10"/>
        <rFont val="Calibri"/>
        <family val="2"/>
        <scheme val="minor"/>
      </rPr>
      <t>XXXmm</t>
    </r>
    <r>
      <rPr>
        <sz val="10"/>
        <rFont val="Calibri"/>
        <family val="2"/>
        <scheme val="minor"/>
      </rPr>
      <t xml:space="preserve"> deep piers (price to be confirmed with soil test, if soil classification is higher or there are trees in close proximity to home extra cost may apply)</t>
    </r>
  </si>
  <si>
    <t>FLOOR PLAN EXTENSIONS</t>
  </si>
  <si>
    <t>FAÇADE</t>
  </si>
  <si>
    <t>ADD ONS</t>
  </si>
  <si>
    <t>ENSUITE &amp; BATHROOM</t>
  </si>
  <si>
    <t>PERSONALISED SELECTIONS</t>
  </si>
  <si>
    <t>EXTERNAL FINISHES</t>
  </si>
  <si>
    <t>INTERNAL FINISHES</t>
  </si>
  <si>
    <t>ROBES</t>
  </si>
  <si>
    <t>FLOOR COVERINGS &amp; TILING</t>
  </si>
  <si>
    <t>Site fall up to 300mm</t>
  </si>
  <si>
    <t>Byron 19</t>
  </si>
  <si>
    <t>Byron 22A</t>
  </si>
  <si>
    <t>Byron 22B</t>
  </si>
  <si>
    <t>FAST KEY</t>
  </si>
  <si>
    <t>1 Bank of 3 pot drawers</t>
  </si>
  <si>
    <t>2 Banks of 3 pot drawers</t>
  </si>
  <si>
    <t>3 Banks of 3 pot drawers</t>
  </si>
  <si>
    <t>4 Banks of 3 pot drawers</t>
  </si>
  <si>
    <t>5 Banks of 3 pot drawers</t>
  </si>
  <si>
    <t>Personalised Selections External Finishes</t>
  </si>
  <si>
    <t>Vinyl / Mirror sliding robe door Combination to 1 Robe</t>
  </si>
  <si>
    <t>Vinyl / Mirror sliding robe door Combination to 2 Robes</t>
  </si>
  <si>
    <t>Vinyl / Mirror sliding robe door Combination to 3 Robes</t>
  </si>
  <si>
    <t>Double Mirror sliding robe door Combination to 1 Robe</t>
  </si>
  <si>
    <t>Double Mirror sliding robe door Combination to 2 Robe</t>
  </si>
  <si>
    <t>Double Mirror sliding robe door Combination to 3 Robe</t>
  </si>
  <si>
    <t>1 Bank of three shelves - (Shirt Stacker)</t>
  </si>
  <si>
    <t>2 Bank of three shelves - (Shirt Stacker)</t>
  </si>
  <si>
    <t>3 Bank of three shelves - (Shirt Stacker)</t>
  </si>
  <si>
    <t>4 Bank of three shelves - (Shirt Stacker)</t>
  </si>
  <si>
    <t>5 Bank of three shelves - (Shirt Stacker)</t>
  </si>
  <si>
    <t>6 Bank of three shelves - (Shirt Stacker)</t>
  </si>
  <si>
    <t>1 Bank of two shelves &amp; four drawers</t>
  </si>
  <si>
    <t>2 Bank of two shelves &amp; four drawers</t>
  </si>
  <si>
    <t>3 Bank of two shelves &amp; four drawers</t>
  </si>
  <si>
    <t>4 Bank of two shelves &amp; four drawers</t>
  </si>
  <si>
    <t>5 Bank of two shelves &amp; four drawers</t>
  </si>
  <si>
    <t>6 Bank of two shelves &amp; four drawers</t>
  </si>
  <si>
    <t>2 Banks of three shelves - (Shirt Stacker)</t>
  </si>
  <si>
    <t>3 Banks of three shelves - (Shirt Stacker)</t>
  </si>
  <si>
    <t>4 Banks of three shelves - (Shirt Stacker)</t>
  </si>
  <si>
    <t>5 Banks of three shelves - (Shirt Stacker)</t>
  </si>
  <si>
    <t>6 Banks of three shelves - (Shirt Stacker)</t>
  </si>
  <si>
    <t>2 Banks of two shelves &amp; four drawers</t>
  </si>
  <si>
    <t>3 Banks of two shelves &amp; four drawers</t>
  </si>
  <si>
    <t>4 Banks of two shelves &amp; four drawers</t>
  </si>
  <si>
    <t>5 Banks of two shelves &amp; four drawers</t>
  </si>
  <si>
    <t>6 Banks of two shelves &amp; four drawers</t>
  </si>
  <si>
    <t>2 drawers to vanity in lieu of doors - (2 Banks)</t>
  </si>
  <si>
    <t>2 drawers to vanity in lieu of doors - (3 Banks)</t>
  </si>
  <si>
    <t>Soft close drawers to 1 Bank of Draws</t>
  </si>
  <si>
    <t>Soft close drawers to 2 Bank of Draws</t>
  </si>
  <si>
    <t>Soft close drawers to 3 Bank of Draws</t>
  </si>
  <si>
    <t>Soft close drawers to 4 Bank of Draws</t>
  </si>
  <si>
    <t>Soft close drawers to 5 Bank of Draws</t>
  </si>
  <si>
    <t>2 x Additional split systems - (3.5kw)</t>
  </si>
  <si>
    <t>3 x Additional split systems - (3.5kw)</t>
  </si>
  <si>
    <t>4 x Additional split systems - (3.5kw)</t>
  </si>
  <si>
    <t>Rectangle with rounded edge mirrors - (2 Mirrors)</t>
  </si>
  <si>
    <t>Rectangle with rounded edge mirrors - (3 Mirrors)</t>
  </si>
  <si>
    <t>Upgrade tiles to kitchen &amp; laundry splashback - (1350mm Extentsion)</t>
  </si>
  <si>
    <t>Upgrade tiles to kitchen &amp; laundry splashback - (1200mm Extentsion)</t>
  </si>
  <si>
    <t>Crossover in plain concrete - up to 12m2</t>
  </si>
  <si>
    <t>Note: These rates are extra for gas lines only if gas is available in the subdivision and the house can be connected to gas mains</t>
  </si>
  <si>
    <t>Per House</t>
  </si>
  <si>
    <t>Gas cooktop in lieu of electric (when gas is included)</t>
  </si>
  <si>
    <t>Gas Hot Water Service  in lieu of electric (when gas is included)</t>
  </si>
  <si>
    <t>No Extra</t>
  </si>
  <si>
    <t>Ashwood 17</t>
  </si>
  <si>
    <t>Ashwood 20</t>
  </si>
  <si>
    <t>Gas mains in the house from meter including bollard</t>
  </si>
  <si>
    <t>Gas ducted heater in lieu of split system</t>
  </si>
  <si>
    <t>Evaporative cooler</t>
  </si>
  <si>
    <t>THIS MUST BE ADDED FOR ANY OF THESE ITEMS</t>
  </si>
  <si>
    <t>Site survey for sites requiring a site cut (please note: timeframe of 4 weeks will be added)</t>
  </si>
  <si>
    <t>SERVICE CONNECTIONS/SITING</t>
  </si>
  <si>
    <r>
      <t xml:space="preserve">Additional </t>
    </r>
    <r>
      <rPr>
        <b/>
        <sz val="10"/>
        <rFont val="Calibri"/>
        <family val="2"/>
        <scheme val="minor"/>
      </rPr>
      <t>XX</t>
    </r>
    <r>
      <rPr>
        <sz val="10"/>
        <rFont val="Calibri"/>
        <family val="2"/>
        <scheme val="minor"/>
      </rPr>
      <t>m2 of natural concrete paving (</t>
    </r>
    <r>
      <rPr>
        <b/>
        <sz val="10"/>
        <rFont val="Calibri"/>
        <family val="2"/>
        <scheme val="minor"/>
      </rPr>
      <t>XX</t>
    </r>
    <r>
      <rPr>
        <sz val="10"/>
        <rFont val="Calibri"/>
        <family val="2"/>
        <scheme val="minor"/>
      </rPr>
      <t>m2 total)</t>
    </r>
  </si>
  <si>
    <t xml:space="preserve">Three phase electricity run in lieu of single phase </t>
  </si>
  <si>
    <t>Malvern 20</t>
  </si>
  <si>
    <t>Malvern 23</t>
  </si>
  <si>
    <t>Malvern 25</t>
  </si>
  <si>
    <t>Additional Add Ons</t>
  </si>
  <si>
    <t>Ensuite 2</t>
  </si>
  <si>
    <t>ADDITIONAL ADD ONS</t>
  </si>
  <si>
    <t>Compliance with NSW Bushfire Regulations (BAL 12.5) as investigation into your block reveals it is in a bushfire prone area</t>
  </si>
  <si>
    <t>BARHAM</t>
  </si>
  <si>
    <t>BAROOGA</t>
  </si>
  <si>
    <t>MOAMA</t>
  </si>
  <si>
    <t>MULWALA</t>
  </si>
  <si>
    <t>TOCUMWAL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</si>
</sst>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44" formatCode="_-&quot;$&quot;* #,##0.00_-;\-&quot;$&quot;* #,##0.00_-;_-&quot;$&quot;* &quot;-&quot;??_-;_-@_-"/>
    <numFmt numFmtId="164" formatCode="&quot;$&quot;#,##0"/>
    <numFmt numFmtId="165" formatCode="_-&quot;$&quot;* #,##0_-;\-&quot;$&quot;* #,##0_-;_-&quot;$&quot;* &quot;-&quot;??_-;_-@_-"/>
    <numFmt numFmtId="166" formatCode="&quot;$&quot;#,##0.00"/>
    <numFmt numFmtId="167" formatCode="&quot;$&quot;#,##0.0"/>
    <numFmt numFmtId="168" formatCode="_(&quot;$&quot;* #,##0.00_);_(&quot;$&quot;* \(#,##0.00\);_(&quot;$&quot;* &quot;-&quot;??_);_(@_)"/>
    <numFmt numFmtId="169" formatCode="0.0%"/>
    <numFmt numFmtId="170" formatCode="&quot;$&quot;#,##0_);[Red]\(&quot;$&quot;#,##0\)"/>
  </numFmts>
  <fonts count="84">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sz val="16"/>
      <color rgb="FFFF0000"/>
      <name val="Arial"/>
      <family val="2"/>
    </font>
    <font>
      <sz val="16"/>
      <name val="Arial"/>
      <family val="2"/>
    </font>
    <font>
      <b/>
      <sz val="16"/>
      <color indexed="62"/>
      <name val="Arial"/>
      <family val="2"/>
    </font>
    <font>
      <b/>
      <sz val="16"/>
      <name val="Arial"/>
      <family val="2"/>
    </font>
    <font>
      <b/>
      <sz val="10"/>
      <color rgb="FFFF0000"/>
      <name val="Arial"/>
      <family val="2"/>
    </font>
    <font>
      <b/>
      <sz val="8"/>
      <name val="Arial"/>
      <family val="2"/>
    </font>
    <font>
      <sz val="9"/>
      <name val="Arial"/>
      <family val="2"/>
    </font>
    <font>
      <sz val="11"/>
      <name val="Arial"/>
      <family val="2"/>
    </font>
    <font>
      <b/>
      <sz val="11"/>
      <name val="Arial"/>
      <family val="2"/>
    </font>
    <font>
      <sz val="8"/>
      <name val="Arial"/>
      <family val="2"/>
    </font>
    <font>
      <b/>
      <sz val="12"/>
      <color theme="3" tint="-0.249977111117893"/>
      <name val="Arial"/>
      <family val="2"/>
    </font>
    <font>
      <sz val="12"/>
      <name val="Arial"/>
      <family val="2"/>
    </font>
    <font>
      <b/>
      <sz val="12"/>
      <color rgb="FFFF0000"/>
      <name val="Arial"/>
      <family val="2"/>
    </font>
    <font>
      <b/>
      <sz val="16"/>
      <color indexed="57"/>
      <name val="Arial"/>
      <family val="2"/>
    </font>
    <font>
      <b/>
      <sz val="16"/>
      <color rgb="FFFF0000"/>
      <name val="Calibri"/>
      <family val="2"/>
      <scheme val="minor"/>
    </font>
    <font>
      <sz val="10"/>
      <color rgb="FFFF0000"/>
      <name val="Arial"/>
      <family val="2"/>
    </font>
    <font>
      <sz val="18"/>
      <color rgb="FF0000FF"/>
      <name val="Calibri"/>
      <family val="2"/>
      <scheme val="minor"/>
    </font>
    <font>
      <sz val="11"/>
      <color rgb="FF0000FF"/>
      <name val="Calibri"/>
      <family val="2"/>
      <scheme val="minor"/>
    </font>
    <font>
      <b/>
      <sz val="11"/>
      <color rgb="FF008080"/>
      <name val="Calibri"/>
      <family val="2"/>
      <scheme val="minor"/>
    </font>
    <font>
      <b/>
      <sz val="11"/>
      <color rgb="FFC00000"/>
      <name val="Calibri"/>
      <family val="2"/>
      <scheme val="minor"/>
    </font>
    <font>
      <b/>
      <sz val="14"/>
      <color rgb="FF0000FF"/>
      <name val="Calibri"/>
      <family val="2"/>
      <scheme val="minor"/>
    </font>
    <font>
      <b/>
      <u/>
      <sz val="10"/>
      <name val="Arial"/>
      <family val="2"/>
    </font>
    <font>
      <b/>
      <sz val="12"/>
      <name val="Calibri"/>
      <family val="2"/>
    </font>
    <font>
      <sz val="8"/>
      <name val="Calibri"/>
      <family val="2"/>
    </font>
    <font>
      <sz val="10"/>
      <color indexed="16"/>
      <name val="Arial"/>
      <family val="2"/>
    </font>
    <font>
      <b/>
      <sz val="20"/>
      <name val="Arial"/>
      <family val="2"/>
    </font>
    <font>
      <u/>
      <sz val="10"/>
      <color indexed="12"/>
      <name val="Arial"/>
      <family val="2"/>
    </font>
    <font>
      <i/>
      <sz val="10"/>
      <name val="Arial"/>
      <family val="2"/>
    </font>
    <font>
      <b/>
      <sz val="12"/>
      <name val="Arial"/>
      <family val="2"/>
    </font>
    <font>
      <b/>
      <sz val="9"/>
      <name val="Arial"/>
      <family val="2"/>
    </font>
    <font>
      <b/>
      <sz val="10"/>
      <color indexed="10"/>
      <name val="Arial"/>
      <family val="2"/>
    </font>
    <font>
      <sz val="10"/>
      <color indexed="10"/>
      <name val="Arial"/>
      <family val="2"/>
    </font>
    <font>
      <b/>
      <u/>
      <sz val="10"/>
      <color indexed="10"/>
      <name val="Arial"/>
      <family val="2"/>
    </font>
    <font>
      <sz val="9"/>
      <color indexed="10"/>
      <name val="Arial"/>
      <family val="2"/>
    </font>
    <font>
      <i/>
      <sz val="11"/>
      <name val="Times New Roman"/>
      <family val="1"/>
    </font>
    <font>
      <b/>
      <u/>
      <sz val="12"/>
      <name val="Arial"/>
      <family val="2"/>
    </font>
    <font>
      <b/>
      <sz val="12"/>
      <color indexed="12"/>
      <name val="Arial"/>
      <family val="2"/>
    </font>
    <font>
      <b/>
      <u/>
      <sz val="12"/>
      <color indexed="12"/>
      <name val="Arial"/>
      <family val="2"/>
    </font>
    <font>
      <b/>
      <sz val="10"/>
      <color indexed="16"/>
      <name val="Arial"/>
      <family val="2"/>
    </font>
    <font>
      <b/>
      <sz val="10"/>
      <color indexed="12"/>
      <name val="Arial"/>
      <family val="2"/>
    </font>
    <font>
      <b/>
      <sz val="10"/>
      <color rgb="FF0000FF"/>
      <name val="Arial"/>
      <family val="2"/>
    </font>
    <font>
      <sz val="8"/>
      <name val="Calibri"/>
      <family val="2"/>
      <scheme val="minor"/>
    </font>
    <font>
      <sz val="20"/>
      <color rgb="FF0000FF"/>
      <name val="Calibri"/>
      <family val="2"/>
      <scheme val="minor"/>
    </font>
    <font>
      <sz val="12"/>
      <color rgb="FF000118"/>
      <name val="Nunito Sans"/>
    </font>
    <font>
      <sz val="10"/>
      <color theme="1"/>
      <name val="Var(--ff-mono)"/>
    </font>
    <font>
      <b/>
      <sz val="14"/>
      <color rgb="FFFF0000"/>
      <name val="Arial"/>
      <family val="2"/>
    </font>
    <font>
      <sz val="13"/>
      <color rgb="FFFF0000"/>
      <name val="Calibri"/>
      <family val="2"/>
      <scheme val="minor"/>
    </font>
    <font>
      <b/>
      <sz val="13"/>
      <color rgb="FFFF0000"/>
      <name val="Calibri"/>
      <family val="2"/>
      <scheme val="minor"/>
    </font>
    <font>
      <sz val="11"/>
      <name val="Calibri"/>
      <family val="2"/>
      <scheme val="minor"/>
    </font>
    <font>
      <b/>
      <sz val="12"/>
      <name val="Calibri"/>
      <family val="2"/>
      <scheme val="minor"/>
    </font>
    <font>
      <b/>
      <sz val="11"/>
      <name val="Calibri"/>
      <family val="2"/>
      <scheme val="minor"/>
    </font>
    <font>
      <sz val="10"/>
      <color indexed="16"/>
      <name val="Calibri"/>
      <family val="2"/>
      <scheme val="minor"/>
    </font>
    <font>
      <b/>
      <sz val="20"/>
      <name val="Calibri"/>
      <family val="2"/>
      <scheme val="minor"/>
    </font>
    <font>
      <b/>
      <sz val="10"/>
      <name val="Calibri"/>
      <family val="2"/>
      <scheme val="minor"/>
    </font>
    <font>
      <u/>
      <sz val="10"/>
      <color indexed="12"/>
      <name val="Calibri"/>
      <family val="2"/>
      <scheme val="minor"/>
    </font>
    <font>
      <b/>
      <u/>
      <sz val="10"/>
      <name val="Calibri"/>
      <family val="2"/>
      <scheme val="minor"/>
    </font>
    <font>
      <sz val="10"/>
      <name val="Calibri"/>
      <family val="2"/>
      <scheme val="minor"/>
    </font>
    <font>
      <sz val="9"/>
      <name val="Calibri"/>
      <family val="2"/>
      <scheme val="minor"/>
    </font>
    <font>
      <i/>
      <sz val="10"/>
      <name val="Calibri"/>
      <family val="2"/>
      <scheme val="minor"/>
    </font>
    <font>
      <b/>
      <sz val="9"/>
      <name val="Calibri"/>
      <family val="2"/>
      <scheme val="minor"/>
    </font>
    <font>
      <b/>
      <sz val="10"/>
      <color indexed="10"/>
      <name val="Calibri"/>
      <family val="2"/>
      <scheme val="minor"/>
    </font>
    <font>
      <sz val="9"/>
      <color indexed="10"/>
      <name val="Calibri"/>
      <family val="2"/>
      <scheme val="minor"/>
    </font>
    <font>
      <i/>
      <sz val="11"/>
      <name val="Calibri"/>
      <family val="2"/>
      <scheme val="minor"/>
    </font>
    <font>
      <b/>
      <u/>
      <sz val="12"/>
      <name val="Calibri"/>
      <family val="2"/>
      <scheme val="minor"/>
    </font>
    <font>
      <b/>
      <sz val="12"/>
      <color indexed="12"/>
      <name val="Calibri"/>
      <family val="2"/>
      <scheme val="minor"/>
    </font>
    <font>
      <b/>
      <u/>
      <sz val="12"/>
      <color indexed="12"/>
      <name val="Calibri"/>
      <family val="2"/>
      <scheme val="minor"/>
    </font>
    <font>
      <b/>
      <sz val="10"/>
      <color indexed="16"/>
      <name val="Calibri"/>
      <family val="2"/>
      <scheme val="minor"/>
    </font>
    <font>
      <b/>
      <sz val="10"/>
      <color indexed="12"/>
      <name val="Calibri"/>
      <family val="2"/>
      <scheme val="minor"/>
    </font>
    <font>
      <b/>
      <sz val="11"/>
      <color rgb="FFFF0000"/>
      <name val="Calibri"/>
      <family val="2"/>
      <scheme val="minor"/>
    </font>
    <font>
      <b/>
      <sz val="11"/>
      <color rgb="FF0000FF"/>
      <name val="Calibri"/>
      <family val="2"/>
      <scheme val="minor"/>
    </font>
    <font>
      <b/>
      <u/>
      <sz val="10"/>
      <color rgb="FFAD4B43"/>
      <name val="Calibri"/>
      <family val="2"/>
      <scheme val="minor"/>
    </font>
    <font>
      <b/>
      <sz val="10"/>
      <color rgb="FFAD4B43"/>
      <name val="Calibri"/>
      <family val="2"/>
      <scheme val="minor"/>
    </font>
    <font>
      <sz val="10"/>
      <color rgb="FFAD4B43"/>
      <name val="Calibri"/>
      <family val="2"/>
      <scheme val="minor"/>
    </font>
    <font>
      <b/>
      <sz val="24"/>
      <name val="Calibri"/>
      <family val="2"/>
      <scheme val="minor"/>
    </font>
    <font>
      <b/>
      <u/>
      <sz val="11"/>
      <name val="Calibri"/>
      <family val="2"/>
      <scheme val="minor"/>
    </font>
    <font>
      <b/>
      <u/>
      <sz val="12"/>
      <color rgb="FFAD4B43"/>
      <name val="Calibri"/>
      <family val="2"/>
      <scheme val="minor"/>
    </font>
    <font>
      <b/>
      <u/>
      <sz val="11"/>
      <color theme="1"/>
      <name val="Calibri"/>
      <family val="2"/>
      <scheme val="minor"/>
    </font>
    <font>
      <b/>
      <sz val="10"/>
      <color theme="1"/>
      <name val="Calibri"/>
      <family val="2"/>
      <scheme val="minor"/>
    </font>
    <font>
      <sz val="12"/>
      <name val="Calibri"/>
      <family val="2"/>
    </font>
  </fonts>
  <fills count="19">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FF"/>
        <bgColor indexed="64"/>
      </patternFill>
    </fill>
    <fill>
      <patternFill patternType="solid">
        <fgColor indexed="22"/>
        <bgColor indexed="64"/>
      </patternFill>
    </fill>
    <fill>
      <patternFill patternType="solid">
        <fgColor theme="0" tint="-0.249977111117893"/>
        <bgColor indexed="64"/>
      </patternFill>
    </fill>
    <fill>
      <patternFill patternType="solid">
        <fgColor indexed="43"/>
        <bgColor indexed="64"/>
      </patternFill>
    </fill>
    <fill>
      <patternFill patternType="solid">
        <fgColor indexed="52"/>
        <bgColor indexed="64"/>
      </patternFill>
    </fill>
    <fill>
      <patternFill patternType="solid">
        <fgColor theme="0"/>
        <bgColor indexed="64"/>
      </patternFill>
    </fill>
    <fill>
      <patternFill patternType="solid">
        <fgColor indexed="44"/>
        <bgColor indexed="64"/>
      </patternFill>
    </fill>
    <fill>
      <patternFill patternType="solid">
        <fgColor theme="4" tint="0.59999389629810485"/>
        <bgColor indexed="64"/>
      </patternFill>
    </fill>
    <fill>
      <patternFill patternType="solid">
        <fgColor rgb="FFFFFF99"/>
        <bgColor indexed="64"/>
      </patternFill>
    </fill>
    <fill>
      <patternFill patternType="solid">
        <fgColor indexed="9"/>
        <bgColor indexed="64"/>
      </patternFill>
    </fill>
    <fill>
      <patternFill patternType="solid">
        <fgColor indexed="13"/>
        <bgColor indexed="64"/>
      </patternFill>
    </fill>
    <fill>
      <patternFill patternType="solid">
        <fgColor rgb="FFFFFFFF"/>
        <bgColor indexed="64"/>
      </patternFill>
    </fill>
    <fill>
      <patternFill patternType="solid">
        <fgColor rgb="FFFFC000"/>
        <bgColor indexed="64"/>
      </patternFill>
    </fill>
    <fill>
      <patternFill patternType="solid">
        <fgColor rgb="FFDBD9D8"/>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FF0000"/>
      </left>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thick">
        <color rgb="FFFF0000"/>
      </right>
      <top style="medium">
        <color rgb="FFFF0000"/>
      </top>
      <bottom style="medium">
        <color rgb="FFFF0000"/>
      </bottom>
      <diagonal/>
    </border>
    <border>
      <left style="thick">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1"/>
    <xf numFmtId="44" fontId="3" fillId="0" borderId="0" applyFont="0" applyFill="0" applyBorder="0" applyAlignment="0" applyProtection="0"/>
    <xf numFmtId="0" fontId="3" fillId="0" borderId="0"/>
    <xf numFmtId="168" fontId="3" fillId="0" borderId="0" applyFont="0" applyFill="0" applyBorder="0" applyAlignment="0" applyProtection="0"/>
    <xf numFmtId="0" fontId="31" fillId="0" borderId="0" applyNumberFormat="0" applyFill="0" applyBorder="0" applyAlignment="0" applyProtection="0">
      <alignment vertical="top"/>
      <protection locked="0"/>
    </xf>
    <xf numFmtId="168" fontId="3" fillId="0" borderId="0" applyFont="0" applyFill="0" applyBorder="0" applyAlignment="0" applyProtection="0"/>
  </cellStyleXfs>
  <cellXfs count="678">
    <xf numFmtId="0" fontId="0" fillId="0" borderId="0" xfId="0"/>
    <xf numFmtId="0" fontId="4" fillId="0" borderId="0" xfId="3" applyFont="1" applyBorder="1"/>
    <xf numFmtId="164" fontId="3" fillId="0" borderId="0" xfId="3" applyNumberFormat="1" applyBorder="1"/>
    <xf numFmtId="0" fontId="3" fillId="0" borderId="0" xfId="3" applyBorder="1"/>
    <xf numFmtId="14" fontId="3" fillId="0" borderId="0" xfId="3" applyNumberFormat="1" applyBorder="1"/>
    <xf numFmtId="6" fontId="3" fillId="0" borderId="0" xfId="3" applyNumberFormat="1" applyBorder="1"/>
    <xf numFmtId="165" fontId="3" fillId="0" borderId="0" xfId="1" applyNumberFormat="1" applyFont="1" applyBorder="1"/>
    <xf numFmtId="15" fontId="3" fillId="0" borderId="0" xfId="3" applyNumberFormat="1" applyBorder="1"/>
    <xf numFmtId="1" fontId="3" fillId="0" borderId="0" xfId="3" applyNumberFormat="1" applyBorder="1"/>
    <xf numFmtId="165" fontId="3" fillId="0" borderId="0" xfId="1" applyNumberFormat="1" applyFont="1" applyFill="1" applyBorder="1"/>
    <xf numFmtId="165" fontId="3" fillId="2" borderId="0" xfId="1" applyNumberFormat="1" applyFont="1" applyFill="1" applyBorder="1"/>
    <xf numFmtId="165" fontId="3" fillId="0" borderId="0" xfId="3" applyNumberFormat="1" applyBorder="1"/>
    <xf numFmtId="0" fontId="0" fillId="3" borderId="0" xfId="0" applyFill="1" applyAlignment="1">
      <alignment wrapText="1"/>
    </xf>
    <xf numFmtId="0" fontId="0" fillId="0" borderId="0" xfId="0" applyAlignment="1">
      <alignment wrapText="1"/>
    </xf>
    <xf numFmtId="0" fontId="0" fillId="3" borderId="0" xfId="0" applyFill="1"/>
    <xf numFmtId="1" fontId="0" fillId="3" borderId="0" xfId="0" applyNumberFormat="1" applyFill="1"/>
    <xf numFmtId="0" fontId="0" fillId="4" borderId="4" xfId="0" applyFill="1" applyBorder="1"/>
    <xf numFmtId="0" fontId="0" fillId="4" borderId="0" xfId="0" applyFill="1"/>
    <xf numFmtId="0" fontId="2" fillId="0" borderId="0" xfId="0" applyFont="1"/>
    <xf numFmtId="165" fontId="2" fillId="0" borderId="4" xfId="1" applyNumberFormat="1" applyFont="1" applyBorder="1"/>
    <xf numFmtId="0" fontId="0" fillId="0" borderId="0" xfId="0" applyAlignment="1">
      <alignment horizontal="center" vertical="center"/>
    </xf>
    <xf numFmtId="0" fontId="0" fillId="0" borderId="0" xfId="0" applyAlignment="1">
      <alignment vertical="center"/>
    </xf>
    <xf numFmtId="166" fontId="0" fillId="0" borderId="6" xfId="0" applyNumberFormat="1" applyBorder="1" applyAlignment="1">
      <alignment vertical="center"/>
    </xf>
    <xf numFmtId="0" fontId="6" fillId="0" borderId="0" xfId="0" applyFont="1" applyAlignment="1">
      <alignment vertical="center"/>
    </xf>
    <xf numFmtId="14" fontId="8" fillId="0" borderId="0" xfId="0" applyNumberFormat="1" applyFont="1" applyAlignment="1">
      <alignment horizontal="left" vertical="center"/>
    </xf>
    <xf numFmtId="0" fontId="8" fillId="0" borderId="0" xfId="0" applyFont="1" applyAlignment="1">
      <alignment horizontal="left" vertical="center"/>
    </xf>
    <xf numFmtId="0" fontId="4" fillId="5" borderId="7" xfId="0" applyFont="1" applyFill="1" applyBorder="1" applyAlignment="1">
      <alignment horizontal="left" vertical="top"/>
    </xf>
    <xf numFmtId="166" fontId="9" fillId="6" borderId="7" xfId="0" applyNumberFormat="1" applyFont="1" applyFill="1" applyBorder="1" applyAlignment="1">
      <alignment horizontal="left" vertical="top" wrapText="1"/>
    </xf>
    <xf numFmtId="164" fontId="4" fillId="5" borderId="7" xfId="0" applyNumberFormat="1" applyFont="1" applyFill="1" applyBorder="1" applyAlignment="1">
      <alignment horizontal="left" vertical="top" wrapText="1"/>
    </xf>
    <xf numFmtId="166" fontId="4" fillId="5" borderId="7" xfId="0" applyNumberFormat="1" applyFont="1" applyFill="1" applyBorder="1" applyAlignment="1">
      <alignment horizontal="left" vertical="top" wrapText="1"/>
    </xf>
    <xf numFmtId="0" fontId="10" fillId="0" borderId="0" xfId="0" quotePrefix="1" applyFont="1" applyAlignment="1">
      <alignment horizontal="center" vertical="center"/>
    </xf>
    <xf numFmtId="0" fontId="10" fillId="0" borderId="0" xfId="0" applyFont="1" applyAlignment="1">
      <alignment horizontal="center" vertical="center"/>
    </xf>
    <xf numFmtId="0" fontId="11" fillId="0" borderId="0" xfId="0" applyFont="1" applyAlignment="1">
      <alignment vertical="center"/>
    </xf>
    <xf numFmtId="0" fontId="3" fillId="0" borderId="0" xfId="0" applyFont="1" applyAlignment="1">
      <alignment vertical="center" wrapText="1"/>
    </xf>
    <xf numFmtId="0" fontId="12" fillId="7" borderId="8" xfId="3" applyFont="1" applyFill="1" applyBorder="1" applyAlignment="1">
      <alignment vertical="center"/>
    </xf>
    <xf numFmtId="164" fontId="12" fillId="8" borderId="9" xfId="3" applyNumberFormat="1" applyFont="1" applyFill="1" applyBorder="1" applyAlignment="1">
      <alignment horizontal="center" vertical="center"/>
    </xf>
    <xf numFmtId="164" fontId="12" fillId="0" borderId="10" xfId="0" applyNumberFormat="1" applyFont="1" applyBorder="1" applyAlignment="1">
      <alignment horizontal="center" vertical="center"/>
    </xf>
    <xf numFmtId="164" fontId="12" fillId="9" borderId="11" xfId="0" applyNumberFormat="1" applyFont="1" applyFill="1" applyBorder="1" applyAlignment="1">
      <alignment horizontal="center" vertical="center"/>
    </xf>
    <xf numFmtId="164" fontId="13" fillId="10" borderId="12" xfId="4" applyNumberFormat="1" applyFont="1" applyFill="1" applyBorder="1" applyAlignment="1">
      <alignment horizontal="center" vertical="center"/>
    </xf>
    <xf numFmtId="164" fontId="0" fillId="0" borderId="0" xfId="0" applyNumberFormat="1" applyAlignment="1">
      <alignment vertical="center"/>
    </xf>
    <xf numFmtId="6" fontId="0" fillId="0" borderId="0" xfId="0" applyNumberFormat="1" applyAlignment="1">
      <alignment vertical="center"/>
    </xf>
    <xf numFmtId="1" fontId="0" fillId="0" borderId="0" xfId="0" applyNumberFormat="1" applyAlignment="1">
      <alignment vertical="center"/>
    </xf>
    <xf numFmtId="0" fontId="12" fillId="7" borderId="13" xfId="3" applyFont="1" applyFill="1" applyBorder="1" applyAlignment="1">
      <alignment vertical="center"/>
    </xf>
    <xf numFmtId="164" fontId="12" fillId="0" borderId="14" xfId="0" applyNumberFormat="1" applyFont="1" applyBorder="1" applyAlignment="1">
      <alignment horizontal="center" vertical="center"/>
    </xf>
    <xf numFmtId="164" fontId="14" fillId="0" borderId="0" xfId="0" applyNumberFormat="1" applyFont="1" applyAlignment="1">
      <alignment horizontal="center" vertical="center"/>
    </xf>
    <xf numFmtId="166" fontId="0" fillId="0" borderId="0" xfId="0" applyNumberFormat="1" applyAlignment="1">
      <alignment vertical="center"/>
    </xf>
    <xf numFmtId="0" fontId="15" fillId="0" borderId="15" xfId="0" applyFont="1" applyBorder="1" applyAlignment="1">
      <alignment vertical="center"/>
    </xf>
    <xf numFmtId="166" fontId="16" fillId="0" borderId="16" xfId="0" applyNumberFormat="1" applyFont="1" applyBorder="1" applyAlignment="1">
      <alignment horizontal="center" vertical="center"/>
    </xf>
    <xf numFmtId="164" fontId="17" fillId="0" borderId="15" xfId="0" applyNumberFormat="1" applyFont="1" applyBorder="1" applyAlignment="1">
      <alignment horizontal="left" vertical="center"/>
    </xf>
    <xf numFmtId="0" fontId="16" fillId="0" borderId="17" xfId="0" applyFont="1" applyBorder="1" applyAlignment="1">
      <alignment vertical="center"/>
    </xf>
    <xf numFmtId="166" fontId="0" fillId="0" borderId="16" xfId="0" applyNumberFormat="1" applyBorder="1" applyAlignment="1">
      <alignment vertical="center"/>
    </xf>
    <xf numFmtId="0" fontId="3" fillId="0" borderId="5" xfId="0" applyFont="1" applyBorder="1" applyAlignment="1">
      <alignment vertical="center"/>
    </xf>
    <xf numFmtId="0" fontId="0" fillId="0" borderId="6" xfId="0" applyBorder="1" applyAlignment="1">
      <alignment vertical="center"/>
    </xf>
    <xf numFmtId="166" fontId="3" fillId="0" borderId="5" xfId="0" applyNumberFormat="1" applyFont="1" applyBorder="1" applyAlignment="1">
      <alignment vertical="center"/>
    </xf>
    <xf numFmtId="0" fontId="0" fillId="0" borderId="18" xfId="0" applyBorder="1" applyAlignment="1">
      <alignment vertical="center"/>
    </xf>
    <xf numFmtId="0" fontId="0" fillId="0" borderId="19" xfId="0" applyBorder="1" applyAlignment="1">
      <alignment vertical="center"/>
    </xf>
    <xf numFmtId="166" fontId="3" fillId="0" borderId="18" xfId="0" applyNumberFormat="1" applyFont="1" applyBorder="1" applyAlignment="1">
      <alignment vertical="center"/>
    </xf>
    <xf numFmtId="0" fontId="0" fillId="0" borderId="20" xfId="0" applyBorder="1" applyAlignment="1">
      <alignment vertical="center"/>
    </xf>
    <xf numFmtId="166" fontId="0" fillId="0" borderId="19" xfId="0" applyNumberFormat="1" applyBorder="1" applyAlignment="1">
      <alignment vertical="center"/>
    </xf>
    <xf numFmtId="0" fontId="3" fillId="0" borderId="0" xfId="0" applyFont="1" applyAlignment="1">
      <alignment horizontal="left" vertical="center"/>
    </xf>
    <xf numFmtId="166" fontId="0" fillId="0" borderId="0" xfId="0" applyNumberFormat="1" applyAlignment="1">
      <alignment horizontal="center" vertical="center"/>
    </xf>
    <xf numFmtId="164" fontId="4" fillId="5" borderId="21" xfId="0" applyNumberFormat="1" applyFont="1" applyFill="1" applyBorder="1" applyAlignment="1">
      <alignment horizontal="left" vertical="top" wrapText="1"/>
    </xf>
    <xf numFmtId="0" fontId="3" fillId="0" borderId="0" xfId="3" applyBorder="1" applyAlignment="1">
      <alignment vertical="center"/>
    </xf>
    <xf numFmtId="164" fontId="3" fillId="0" borderId="0" xfId="3" applyNumberFormat="1" applyBorder="1" applyAlignment="1">
      <alignment horizontal="center" vertical="center"/>
    </xf>
    <xf numFmtId="164" fontId="3" fillId="0" borderId="23" xfId="3" applyNumberFormat="1" applyBorder="1" applyAlignment="1">
      <alignment horizontal="center" vertical="center"/>
    </xf>
    <xf numFmtId="166" fontId="3" fillId="0" borderId="0" xfId="3" applyNumberFormat="1" applyBorder="1" applyAlignment="1">
      <alignment vertical="center"/>
    </xf>
    <xf numFmtId="0" fontId="3" fillId="7" borderId="8" xfId="3" applyFill="1" applyBorder="1" applyAlignment="1">
      <alignment vertical="center"/>
    </xf>
    <xf numFmtId="0" fontId="3" fillId="7" borderId="13" xfId="3" applyFill="1" applyBorder="1" applyAlignment="1">
      <alignment vertical="center"/>
    </xf>
    <xf numFmtId="166" fontId="3" fillId="0" borderId="0" xfId="0" applyNumberFormat="1" applyFont="1" applyAlignment="1">
      <alignment vertical="center"/>
    </xf>
    <xf numFmtId="14" fontId="8" fillId="0" borderId="0" xfId="0" applyNumberFormat="1" applyFont="1" applyAlignment="1">
      <alignment vertical="center"/>
    </xf>
    <xf numFmtId="0" fontId="4" fillId="11" borderId="21" xfId="0" applyFont="1" applyFill="1" applyBorder="1" applyAlignment="1">
      <alignment horizontal="left" vertical="top"/>
    </xf>
    <xf numFmtId="166" fontId="9" fillId="11" borderId="7" xfId="0" applyNumberFormat="1" applyFont="1" applyFill="1" applyBorder="1" applyAlignment="1">
      <alignment horizontal="left" vertical="top" wrapText="1"/>
    </xf>
    <xf numFmtId="164" fontId="4" fillId="11" borderId="21" xfId="0" applyNumberFormat="1" applyFont="1" applyFill="1" applyBorder="1" applyAlignment="1">
      <alignment horizontal="left" vertical="top" wrapText="1"/>
    </xf>
    <xf numFmtId="164" fontId="4" fillId="11" borderId="7" xfId="0" applyNumberFormat="1" applyFont="1" applyFill="1" applyBorder="1" applyAlignment="1">
      <alignment horizontal="left" vertical="top" wrapText="1"/>
    </xf>
    <xf numFmtId="164" fontId="4" fillId="11" borderId="24" xfId="0" applyNumberFormat="1" applyFont="1" applyFill="1" applyBorder="1" applyAlignment="1">
      <alignment horizontal="left" vertical="top" wrapText="1"/>
    </xf>
    <xf numFmtId="166" fontId="4" fillId="11" borderId="7" xfId="0" applyNumberFormat="1" applyFont="1" applyFill="1" applyBorder="1" applyAlignment="1">
      <alignment horizontal="left" vertical="top" wrapText="1"/>
    </xf>
    <xf numFmtId="0" fontId="12" fillId="7" borderId="8" xfId="0" applyFont="1" applyFill="1" applyBorder="1" applyAlignment="1">
      <alignment vertical="center"/>
    </xf>
    <xf numFmtId="164" fontId="14" fillId="8" borderId="11" xfId="0" applyNumberFormat="1" applyFont="1" applyFill="1" applyBorder="1" applyAlignment="1">
      <alignment horizontal="center" vertical="center"/>
    </xf>
    <xf numFmtId="164" fontId="14" fillId="0" borderId="25" xfId="0" applyNumberFormat="1" applyFont="1" applyBorder="1" applyAlignment="1">
      <alignment horizontal="center" vertical="center"/>
    </xf>
    <xf numFmtId="164" fontId="14" fillId="9" borderId="11" xfId="0" applyNumberFormat="1" applyFont="1" applyFill="1" applyBorder="1" applyAlignment="1">
      <alignment horizontal="center" vertical="center"/>
    </xf>
    <xf numFmtId="164" fontId="14" fillId="9" borderId="8" xfId="0" applyNumberFormat="1" applyFont="1" applyFill="1" applyBorder="1" applyAlignment="1">
      <alignment horizontal="center" vertical="center"/>
    </xf>
    <xf numFmtId="164" fontId="13" fillId="10" borderId="26" xfId="4" applyNumberFormat="1" applyFont="1" applyFill="1" applyBorder="1" applyAlignment="1">
      <alignment horizontal="center" vertical="center"/>
    </xf>
    <xf numFmtId="164" fontId="3" fillId="0" borderId="0" xfId="0" applyNumberFormat="1" applyFont="1" applyAlignment="1">
      <alignment vertical="center"/>
    </xf>
    <xf numFmtId="167" fontId="0" fillId="0" borderId="0" xfId="0" applyNumberFormat="1" applyAlignment="1">
      <alignment vertical="center"/>
    </xf>
    <xf numFmtId="0" fontId="12" fillId="7" borderId="13" xfId="0" applyFont="1" applyFill="1" applyBorder="1" applyAlignment="1">
      <alignment vertical="center"/>
    </xf>
    <xf numFmtId="164" fontId="14" fillId="9" borderId="22" xfId="0" applyNumberFormat="1" applyFont="1" applyFill="1" applyBorder="1" applyAlignment="1">
      <alignment horizontal="center" vertical="center"/>
    </xf>
    <xf numFmtId="164" fontId="14" fillId="9" borderId="13" xfId="0" applyNumberFormat="1" applyFont="1" applyFill="1" applyBorder="1" applyAlignment="1">
      <alignment horizontal="center" vertical="center"/>
    </xf>
    <xf numFmtId="164" fontId="13" fillId="10" borderId="27" xfId="4" applyNumberFormat="1" applyFont="1" applyFill="1" applyBorder="1" applyAlignment="1">
      <alignment horizontal="center" vertical="center"/>
    </xf>
    <xf numFmtId="164" fontId="13" fillId="10" borderId="22" xfId="4" applyNumberFormat="1" applyFont="1" applyFill="1" applyBorder="1" applyAlignment="1">
      <alignment horizontal="center" vertical="center"/>
    </xf>
    <xf numFmtId="0" fontId="0" fillId="0" borderId="5" xfId="0" applyBorder="1" applyAlignment="1">
      <alignment vertical="center"/>
    </xf>
    <xf numFmtId="0" fontId="12" fillId="7" borderId="28" xfId="0" applyFont="1" applyFill="1" applyBorder="1" applyAlignment="1">
      <alignment vertical="center"/>
    </xf>
    <xf numFmtId="164" fontId="14" fillId="9" borderId="28" xfId="0" applyNumberFormat="1" applyFont="1" applyFill="1" applyBorder="1" applyAlignment="1">
      <alignment horizontal="center" vertical="center"/>
    </xf>
    <xf numFmtId="164" fontId="14" fillId="9" borderId="29" xfId="0" applyNumberFormat="1" applyFont="1" applyFill="1" applyBorder="1" applyAlignment="1">
      <alignment horizontal="center" vertical="center"/>
    </xf>
    <xf numFmtId="164" fontId="13" fillId="10" borderId="28" xfId="4" applyNumberFormat="1" applyFont="1" applyFill="1" applyBorder="1" applyAlignment="1">
      <alignment horizontal="center" vertical="center"/>
    </xf>
    <xf numFmtId="0" fontId="3" fillId="0" borderId="0" xfId="0" applyFont="1" applyAlignment="1">
      <alignment vertical="center"/>
    </xf>
    <xf numFmtId="164" fontId="14" fillId="0" borderId="17" xfId="0" applyNumberFormat="1" applyFont="1" applyBorder="1" applyAlignment="1">
      <alignment horizontal="center" vertical="center"/>
    </xf>
    <xf numFmtId="166" fontId="0" fillId="0" borderId="17" xfId="0" applyNumberFormat="1" applyBorder="1" applyAlignment="1">
      <alignment vertical="center"/>
    </xf>
    <xf numFmtId="0" fontId="20" fillId="0" borderId="0" xfId="0" applyFont="1" applyAlignment="1">
      <alignment vertical="center"/>
    </xf>
    <xf numFmtId="0" fontId="21" fillId="0" borderId="0" xfId="0" applyFont="1"/>
    <xf numFmtId="165" fontId="0" fillId="0" borderId="0" xfId="1" applyNumberFormat="1" applyFont="1"/>
    <xf numFmtId="0" fontId="22" fillId="0" borderId="0" xfId="0" applyFont="1"/>
    <xf numFmtId="165" fontId="0" fillId="12" borderId="0" xfId="1" applyNumberFormat="1" applyFont="1" applyFill="1" applyAlignment="1"/>
    <xf numFmtId="165" fontId="0" fillId="12" borderId="0" xfId="1" applyNumberFormat="1" applyFont="1" applyFill="1"/>
    <xf numFmtId="165" fontId="22" fillId="0" borderId="0" xfId="1" applyNumberFormat="1" applyFont="1"/>
    <xf numFmtId="0" fontId="23" fillId="0" borderId="0" xfId="0" applyFont="1"/>
    <xf numFmtId="0" fontId="24" fillId="0" borderId="0" xfId="0" applyFont="1"/>
    <xf numFmtId="0" fontId="25" fillId="0" borderId="0" xfId="0" applyFont="1"/>
    <xf numFmtId="6" fontId="0" fillId="0" borderId="0" xfId="0" applyNumberFormat="1" applyAlignment="1">
      <alignment horizontal="center" vertical="center"/>
    </xf>
    <xf numFmtId="6" fontId="0" fillId="0" borderId="15" xfId="0" applyNumberFormat="1" applyBorder="1" applyAlignment="1">
      <alignment vertical="center"/>
    </xf>
    <xf numFmtId="6" fontId="0" fillId="0" borderId="17" xfId="0" applyNumberFormat="1" applyBorder="1" applyAlignment="1">
      <alignment vertical="center"/>
    </xf>
    <xf numFmtId="6" fontId="0" fillId="0" borderId="17" xfId="0" applyNumberFormat="1" applyBorder="1" applyAlignment="1">
      <alignment horizontal="center" vertical="center"/>
    </xf>
    <xf numFmtId="6" fontId="0" fillId="0" borderId="16" xfId="0" applyNumberFormat="1" applyBorder="1" applyAlignment="1">
      <alignment vertical="center"/>
    </xf>
    <xf numFmtId="6" fontId="0" fillId="0" borderId="5" xfId="0" applyNumberFormat="1" applyBorder="1"/>
    <xf numFmtId="6" fontId="0" fillId="0" borderId="0" xfId="0" applyNumberFormat="1"/>
    <xf numFmtId="6" fontId="12" fillId="0" borderId="0" xfId="0" applyNumberFormat="1" applyFont="1" applyAlignment="1">
      <alignment horizontal="center"/>
    </xf>
    <xf numFmtId="6" fontId="0" fillId="0" borderId="6" xfId="0" applyNumberFormat="1" applyBorder="1"/>
    <xf numFmtId="6" fontId="27" fillId="0" borderId="5" xfId="0" applyNumberFormat="1" applyFont="1" applyBorder="1" applyAlignment="1">
      <alignment vertical="center"/>
    </xf>
    <xf numFmtId="6" fontId="28" fillId="0" borderId="0" xfId="0" applyNumberFormat="1" applyFont="1" applyAlignment="1">
      <alignment horizontal="center"/>
    </xf>
    <xf numFmtId="6" fontId="28" fillId="0" borderId="0" xfId="0" applyNumberFormat="1" applyFont="1" applyAlignment="1">
      <alignment vertical="center"/>
    </xf>
    <xf numFmtId="6" fontId="0" fillId="0" borderId="6" xfId="0" applyNumberFormat="1" applyBorder="1" applyAlignment="1">
      <alignment vertical="center"/>
    </xf>
    <xf numFmtId="6" fontId="28" fillId="0" borderId="5" xfId="0" applyNumberFormat="1" applyFont="1" applyBorder="1" applyAlignment="1">
      <alignment vertical="center"/>
    </xf>
    <xf numFmtId="6" fontId="28" fillId="0" borderId="0" xfId="0" applyNumberFormat="1" applyFont="1" applyAlignment="1">
      <alignment horizontal="right"/>
    </xf>
    <xf numFmtId="6" fontId="12" fillId="0" borderId="5" xfId="0" applyNumberFormat="1" applyFont="1" applyBorder="1"/>
    <xf numFmtId="6" fontId="0" fillId="0" borderId="0" xfId="0" applyNumberFormat="1" applyAlignment="1">
      <alignment horizontal="center"/>
    </xf>
    <xf numFmtId="6" fontId="12" fillId="0" borderId="5" xfId="0" applyNumberFormat="1" applyFont="1" applyBorder="1" applyAlignment="1">
      <alignment horizontal="right"/>
    </xf>
    <xf numFmtId="6" fontId="12" fillId="0" borderId="0" xfId="0" applyNumberFormat="1" applyFont="1"/>
    <xf numFmtId="6" fontId="13" fillId="0" borderId="5" xfId="0" applyNumberFormat="1" applyFont="1" applyBorder="1"/>
    <xf numFmtId="6" fontId="4" fillId="0" borderId="0" xfId="0" applyNumberFormat="1" applyFont="1" applyAlignment="1">
      <alignment horizontal="center" vertical="center"/>
    </xf>
    <xf numFmtId="6" fontId="12" fillId="0" borderId="5" xfId="0" applyNumberFormat="1" applyFont="1" applyBorder="1" applyAlignment="1">
      <alignment horizontal="left" indent="1"/>
    </xf>
    <xf numFmtId="6" fontId="12" fillId="0" borderId="18" xfId="0" applyNumberFormat="1" applyFont="1" applyBorder="1"/>
    <xf numFmtId="6" fontId="0" fillId="0" borderId="20" xfId="0" applyNumberFormat="1" applyBorder="1"/>
    <xf numFmtId="6" fontId="0" fillId="0" borderId="20" xfId="0" applyNumberFormat="1" applyBorder="1" applyAlignment="1">
      <alignment horizontal="center"/>
    </xf>
    <xf numFmtId="6" fontId="0" fillId="0" borderId="19" xfId="0" applyNumberFormat="1" applyBorder="1"/>
    <xf numFmtId="6" fontId="29" fillId="0" borderId="0" xfId="0" applyNumberFormat="1" applyFont="1" applyAlignment="1">
      <alignment vertical="center"/>
    </xf>
    <xf numFmtId="6" fontId="30" fillId="0" borderId="0" xfId="0" applyNumberFormat="1" applyFont="1" applyAlignment="1">
      <alignment horizontal="left" vertical="center"/>
    </xf>
    <xf numFmtId="6" fontId="30" fillId="0" borderId="0" xfId="0" applyNumberFormat="1" applyFont="1" applyAlignment="1">
      <alignment horizontal="center" vertical="center"/>
    </xf>
    <xf numFmtId="6" fontId="4" fillId="13" borderId="0" xfId="0" applyNumberFormat="1" applyFont="1" applyFill="1" applyAlignment="1">
      <alignment horizontal="center" vertical="center"/>
    </xf>
    <xf numFmtId="6" fontId="4" fillId="0" borderId="30" xfId="0" applyNumberFormat="1" applyFont="1" applyBorder="1" applyAlignment="1" applyProtection="1">
      <alignment vertical="center"/>
      <protection locked="0"/>
    </xf>
    <xf numFmtId="6" fontId="31" fillId="0" borderId="0" xfId="7" applyNumberFormat="1" applyAlignment="1" applyProtection="1">
      <alignment vertical="center"/>
    </xf>
    <xf numFmtId="6" fontId="4" fillId="0" borderId="0" xfId="0" applyNumberFormat="1" applyFont="1" applyAlignment="1">
      <alignment horizontal="left" vertical="center"/>
    </xf>
    <xf numFmtId="6" fontId="0" fillId="0" borderId="0" xfId="0" applyNumberFormat="1" applyAlignment="1">
      <alignment horizontal="left" vertical="center"/>
    </xf>
    <xf numFmtId="6" fontId="4" fillId="0" borderId="35" xfId="0" applyNumberFormat="1" applyFont="1" applyBorder="1" applyAlignment="1">
      <alignment vertical="center"/>
    </xf>
    <xf numFmtId="6" fontId="4" fillId="13" borderId="23" xfId="0" applyNumberFormat="1" applyFont="1" applyFill="1" applyBorder="1" applyAlignment="1">
      <alignment horizontal="center" vertical="center"/>
    </xf>
    <xf numFmtId="6" fontId="4" fillId="13" borderId="0" xfId="0" applyNumberFormat="1" applyFont="1" applyFill="1" applyAlignment="1">
      <alignment horizontal="center" vertical="center" wrapText="1"/>
    </xf>
    <xf numFmtId="6" fontId="0" fillId="0" borderId="0" xfId="0" applyNumberFormat="1" applyAlignment="1">
      <alignment vertical="center" wrapText="1"/>
    </xf>
    <xf numFmtId="6" fontId="26" fillId="0" borderId="13" xfId="0" applyNumberFormat="1" applyFont="1" applyBorder="1" applyAlignment="1" applyProtection="1">
      <alignment vertical="center"/>
      <protection locked="0"/>
    </xf>
    <xf numFmtId="6" fontId="3" fillId="0" borderId="3" xfId="0" applyNumberFormat="1" applyFont="1" applyBorder="1" applyAlignment="1">
      <alignment vertical="center"/>
    </xf>
    <xf numFmtId="6" fontId="3" fillId="0" borderId="0" xfId="0" applyNumberFormat="1" applyFont="1" applyAlignment="1">
      <alignment vertical="center"/>
    </xf>
    <xf numFmtId="6" fontId="3" fillId="0" borderId="3" xfId="0" applyNumberFormat="1" applyFont="1" applyBorder="1" applyAlignment="1">
      <alignment vertical="distributed"/>
    </xf>
    <xf numFmtId="6" fontId="0" fillId="0" borderId="3" xfId="0" applyNumberFormat="1" applyBorder="1" applyAlignment="1">
      <alignment vertical="distributed"/>
    </xf>
    <xf numFmtId="6" fontId="4" fillId="0" borderId="0" xfId="0" applyNumberFormat="1" applyFont="1" applyAlignment="1">
      <alignment vertical="center"/>
    </xf>
    <xf numFmtId="6" fontId="32" fillId="0" borderId="0" xfId="0" applyNumberFormat="1" applyFont="1" applyAlignment="1">
      <alignment vertical="center"/>
    </xf>
    <xf numFmtId="6" fontId="33" fillId="0" borderId="0" xfId="0" applyNumberFormat="1" applyFont="1" applyAlignment="1">
      <alignment horizontal="left" vertical="center"/>
    </xf>
    <xf numFmtId="6" fontId="0" fillId="0" borderId="39" xfId="0" applyNumberFormat="1" applyBorder="1" applyAlignment="1">
      <alignment horizontal="left" vertical="center"/>
    </xf>
    <xf numFmtId="6" fontId="0" fillId="0" borderId="1" xfId="0" applyNumberFormat="1" applyBorder="1" applyAlignment="1">
      <alignment vertical="center"/>
    </xf>
    <xf numFmtId="6" fontId="0" fillId="0" borderId="1" xfId="0" applyNumberFormat="1" applyBorder="1" applyAlignment="1">
      <alignment horizontal="center" vertical="center"/>
    </xf>
    <xf numFmtId="6" fontId="0" fillId="0" borderId="40" xfId="0" applyNumberFormat="1" applyBorder="1" applyAlignment="1">
      <alignment vertical="center"/>
    </xf>
    <xf numFmtId="6" fontId="34" fillId="0" borderId="0" xfId="0" applyNumberFormat="1" applyFont="1" applyAlignment="1">
      <alignment horizontal="center" vertical="center"/>
    </xf>
    <xf numFmtId="6" fontId="3" fillId="0" borderId="1" xfId="0" applyNumberFormat="1" applyFont="1" applyBorder="1" applyAlignment="1">
      <alignment vertical="center"/>
    </xf>
    <xf numFmtId="6" fontId="4" fillId="0" borderId="30" xfId="0" applyNumberFormat="1" applyFont="1" applyBorder="1" applyAlignment="1">
      <alignment vertical="center"/>
    </xf>
    <xf numFmtId="6" fontId="4" fillId="0" borderId="41" xfId="0" applyNumberFormat="1" applyFont="1" applyBorder="1" applyAlignment="1">
      <alignment horizontal="left" vertical="center"/>
    </xf>
    <xf numFmtId="6" fontId="35" fillId="14" borderId="40" xfId="0" applyNumberFormat="1" applyFont="1" applyFill="1" applyBorder="1" applyAlignment="1">
      <alignment vertical="center"/>
    </xf>
    <xf numFmtId="6" fontId="0" fillId="14" borderId="0" xfId="0" applyNumberFormat="1" applyFill="1" applyAlignment="1">
      <alignment vertical="center"/>
    </xf>
    <xf numFmtId="6" fontId="35" fillId="14" borderId="0" xfId="0" applyNumberFormat="1" applyFont="1" applyFill="1" applyAlignment="1">
      <alignment vertical="center"/>
    </xf>
    <xf numFmtId="6" fontId="36" fillId="14" borderId="0" xfId="0" applyNumberFormat="1" applyFont="1" applyFill="1" applyAlignment="1">
      <alignment vertical="center"/>
    </xf>
    <xf numFmtId="6" fontId="4" fillId="0" borderId="13" xfId="0" applyNumberFormat="1" applyFont="1" applyBorder="1" applyAlignment="1">
      <alignment vertical="center"/>
    </xf>
    <xf numFmtId="6" fontId="0" fillId="0" borderId="1" xfId="0" applyNumberFormat="1" applyBorder="1" applyAlignment="1">
      <alignment vertical="center" wrapText="1"/>
    </xf>
    <xf numFmtId="6" fontId="0" fillId="0" borderId="1" xfId="0" applyNumberFormat="1" applyBorder="1" applyAlignment="1">
      <alignment horizontal="center" vertical="center" wrapText="1"/>
    </xf>
    <xf numFmtId="6" fontId="0" fillId="14" borderId="0" xfId="0" applyNumberFormat="1" applyFill="1" applyAlignment="1">
      <alignment vertical="center" wrapText="1"/>
    </xf>
    <xf numFmtId="6" fontId="35" fillId="14" borderId="0" xfId="0" applyNumberFormat="1" applyFont="1" applyFill="1" applyAlignment="1">
      <alignment vertical="center" wrapText="1"/>
    </xf>
    <xf numFmtId="6" fontId="36" fillId="14" borderId="0" xfId="0" applyNumberFormat="1" applyFont="1" applyFill="1" applyAlignment="1">
      <alignment vertical="center" wrapText="1"/>
    </xf>
    <xf numFmtId="6" fontId="4" fillId="0" borderId="8" xfId="0" applyNumberFormat="1" applyFont="1" applyBorder="1" applyAlignment="1">
      <alignment horizontal="left" vertical="center"/>
    </xf>
    <xf numFmtId="6" fontId="33" fillId="0" borderId="43" xfId="0" applyNumberFormat="1" applyFont="1" applyBorder="1" applyAlignment="1">
      <alignment horizontal="left" vertical="center"/>
    </xf>
    <xf numFmtId="6" fontId="34" fillId="0" borderId="9" xfId="0" applyNumberFormat="1" applyFont="1" applyBorder="1" applyAlignment="1">
      <alignment horizontal="center" vertical="center"/>
    </xf>
    <xf numFmtId="6" fontId="34" fillId="0" borderId="10" xfId="0" applyNumberFormat="1" applyFont="1" applyBorder="1" applyAlignment="1">
      <alignment horizontal="center" vertical="center"/>
    </xf>
    <xf numFmtId="6" fontId="11" fillId="0" borderId="1" xfId="0" applyNumberFormat="1" applyFont="1" applyBorder="1" applyAlignment="1" applyProtection="1">
      <alignment horizontal="center" vertical="center"/>
      <protection locked="0"/>
    </xf>
    <xf numFmtId="6" fontId="11" fillId="0" borderId="1" xfId="0" applyNumberFormat="1" applyFont="1" applyBorder="1" applyAlignment="1" applyProtection="1">
      <alignment vertical="center"/>
      <protection locked="0"/>
    </xf>
    <xf numFmtId="6" fontId="11" fillId="0" borderId="14" xfId="0" applyNumberFormat="1" applyFont="1" applyBorder="1" applyAlignment="1">
      <alignment vertical="center"/>
    </xf>
    <xf numFmtId="6" fontId="4" fillId="0" borderId="1" xfId="0" applyNumberFormat="1" applyFont="1" applyBorder="1" applyAlignment="1">
      <alignment vertical="center"/>
    </xf>
    <xf numFmtId="6" fontId="4" fillId="0" borderId="1" xfId="0" applyNumberFormat="1" applyFont="1" applyBorder="1" applyAlignment="1">
      <alignment horizontal="left" vertical="center"/>
    </xf>
    <xf numFmtId="6" fontId="0" fillId="0" borderId="1" xfId="0" applyNumberFormat="1" applyBorder="1" applyAlignment="1">
      <alignment horizontal="left" vertical="center"/>
    </xf>
    <xf numFmtId="6" fontId="11" fillId="0" borderId="3" xfId="0" applyNumberFormat="1" applyFont="1" applyBorder="1" applyAlignment="1" applyProtection="1">
      <alignment horizontal="center" vertical="center"/>
      <protection locked="0"/>
    </xf>
    <xf numFmtId="6" fontId="11" fillId="0" borderId="14" xfId="0" applyNumberFormat="1" applyFont="1" applyBorder="1" applyAlignment="1">
      <alignment horizontal="center" vertical="center"/>
    </xf>
    <xf numFmtId="6" fontId="38" fillId="0" borderId="1" xfId="0" applyNumberFormat="1" applyFont="1" applyBorder="1" applyAlignment="1" applyProtection="1">
      <alignment vertical="center"/>
      <protection locked="0"/>
    </xf>
    <xf numFmtId="6" fontId="11" fillId="0" borderId="1" xfId="0" applyNumberFormat="1" applyFont="1" applyBorder="1" applyAlignment="1">
      <alignment horizontal="center" vertical="center"/>
    </xf>
    <xf numFmtId="6" fontId="3" fillId="0" borderId="5" xfId="0" applyNumberFormat="1" applyFont="1" applyBorder="1" applyAlignment="1">
      <alignment vertical="center"/>
    </xf>
    <xf numFmtId="6" fontId="39" fillId="0" borderId="5" xfId="0" applyNumberFormat="1" applyFont="1" applyBorder="1"/>
    <xf numFmtId="6" fontId="40" fillId="0" borderId="0" xfId="0" applyNumberFormat="1" applyFont="1" applyAlignment="1">
      <alignment horizontal="right" vertical="center"/>
    </xf>
    <xf numFmtId="6" fontId="33" fillId="0" borderId="0" xfId="0" applyNumberFormat="1" applyFont="1" applyAlignment="1">
      <alignment horizontal="center" vertical="center"/>
    </xf>
    <xf numFmtId="6" fontId="33" fillId="0" borderId="6" xfId="0" applyNumberFormat="1" applyFont="1" applyBorder="1" applyAlignment="1">
      <alignment horizontal="center" vertical="center"/>
    </xf>
    <xf numFmtId="6" fontId="41" fillId="0" borderId="20" xfId="0" applyNumberFormat="1" applyFont="1" applyBorder="1" applyAlignment="1">
      <alignment horizontal="center" vertical="center"/>
    </xf>
    <xf numFmtId="6" fontId="41" fillId="0" borderId="19" xfId="0" applyNumberFormat="1" applyFont="1" applyBorder="1" applyAlignment="1">
      <alignment horizontal="center" vertical="center"/>
    </xf>
    <xf numFmtId="6" fontId="33" fillId="0" borderId="0" xfId="0" applyNumberFormat="1" applyFont="1" applyAlignment="1">
      <alignment vertical="center"/>
    </xf>
    <xf numFmtId="6" fontId="42" fillId="0" borderId="0" xfId="0" applyNumberFormat="1" applyFont="1" applyAlignment="1">
      <alignment horizontal="right" vertical="center"/>
    </xf>
    <xf numFmtId="6" fontId="41" fillId="0" borderId="0" xfId="0" applyNumberFormat="1" applyFont="1" applyAlignment="1">
      <alignment horizontal="center" vertical="center"/>
    </xf>
    <xf numFmtId="6" fontId="33" fillId="0" borderId="15" xfId="0" applyNumberFormat="1" applyFont="1" applyBorder="1" applyAlignment="1">
      <alignment vertical="center"/>
    </xf>
    <xf numFmtId="6" fontId="42" fillId="0" borderId="17" xfId="0" applyNumberFormat="1" applyFont="1" applyBorder="1" applyAlignment="1">
      <alignment horizontal="right" vertical="center"/>
    </xf>
    <xf numFmtId="6" fontId="41" fillId="0" borderId="17" xfId="0" applyNumberFormat="1" applyFont="1" applyBorder="1" applyAlignment="1">
      <alignment horizontal="center" vertical="center"/>
    </xf>
    <xf numFmtId="6" fontId="41" fillId="0" borderId="16" xfId="0" applyNumberFormat="1" applyFont="1" applyBorder="1" applyAlignment="1">
      <alignment horizontal="center" vertical="center"/>
    </xf>
    <xf numFmtId="6" fontId="33" fillId="0" borderId="5" xfId="0" applyNumberFormat="1" applyFont="1" applyBorder="1" applyAlignment="1">
      <alignment vertical="center"/>
    </xf>
    <xf numFmtId="6" fontId="41" fillId="0" borderId="6" xfId="0" applyNumberFormat="1" applyFont="1" applyBorder="1" applyAlignment="1">
      <alignment horizontal="center" vertical="center"/>
    </xf>
    <xf numFmtId="6" fontId="0" fillId="0" borderId="5" xfId="0" applyNumberFormat="1" applyBorder="1" applyAlignment="1">
      <alignment vertical="center"/>
    </xf>
    <xf numFmtId="6" fontId="26" fillId="0" borderId="0" xfId="0" applyNumberFormat="1" applyFont="1" applyAlignment="1">
      <alignment horizontal="center" vertical="center"/>
    </xf>
    <xf numFmtId="6" fontId="3" fillId="0" borderId="6" xfId="0" applyNumberFormat="1" applyFont="1" applyBorder="1" applyAlignment="1">
      <alignment vertical="center"/>
    </xf>
    <xf numFmtId="6" fontId="4" fillId="0" borderId="5" xfId="0" applyNumberFormat="1" applyFont="1" applyBorder="1" applyAlignment="1">
      <alignment horizontal="center" vertical="center"/>
    </xf>
    <xf numFmtId="6" fontId="43" fillId="0" borderId="5" xfId="0" applyNumberFormat="1" applyFont="1" applyBorder="1" applyAlignment="1">
      <alignment horizontal="center" vertical="center"/>
    </xf>
    <xf numFmtId="6" fontId="44" fillId="0" borderId="0" xfId="0" applyNumberFormat="1" applyFont="1" applyAlignment="1">
      <alignment horizontal="left" vertical="center"/>
    </xf>
    <xf numFmtId="6" fontId="44" fillId="0" borderId="0" xfId="0" applyNumberFormat="1" applyFont="1" applyAlignment="1" applyProtection="1">
      <alignment horizontal="center" vertical="center"/>
      <protection locked="0"/>
    </xf>
    <xf numFmtId="6" fontId="44" fillId="0" borderId="0" xfId="0" applyNumberFormat="1" applyFont="1" applyAlignment="1" applyProtection="1">
      <alignment horizontal="right" vertical="center"/>
      <protection locked="0"/>
    </xf>
    <xf numFmtId="9" fontId="43" fillId="0" borderId="5" xfId="2" applyFont="1" applyBorder="1" applyAlignment="1">
      <alignment horizontal="center" vertical="center"/>
    </xf>
    <xf numFmtId="6" fontId="43" fillId="0" borderId="0" xfId="0" applyNumberFormat="1" applyFont="1" applyAlignment="1">
      <alignment vertical="center"/>
    </xf>
    <xf numFmtId="6" fontId="43" fillId="0" borderId="0" xfId="0" applyNumberFormat="1" applyFont="1" applyAlignment="1" applyProtection="1">
      <alignment horizontal="center" vertical="center"/>
      <protection locked="0"/>
    </xf>
    <xf numFmtId="6" fontId="43" fillId="0" borderId="0" xfId="0" applyNumberFormat="1" applyFont="1" applyAlignment="1" applyProtection="1">
      <alignment horizontal="right" vertical="center"/>
      <protection locked="0"/>
    </xf>
    <xf numFmtId="6" fontId="43" fillId="0" borderId="0" xfId="0" applyNumberFormat="1" applyFont="1" applyAlignment="1">
      <alignment horizontal="center" vertical="center"/>
    </xf>
    <xf numFmtId="6" fontId="43" fillId="0" borderId="0" xfId="0" applyNumberFormat="1" applyFont="1" applyAlignment="1">
      <alignment horizontal="right" vertical="center"/>
    </xf>
    <xf numFmtId="169" fontId="43" fillId="0" borderId="5" xfId="2" applyNumberFormat="1" applyFont="1" applyBorder="1" applyAlignment="1">
      <alignment horizontal="center" vertical="center"/>
    </xf>
    <xf numFmtId="6" fontId="3" fillId="0" borderId="0" xfId="0" applyNumberFormat="1" applyFont="1" applyAlignment="1">
      <alignment horizontal="center" vertical="center"/>
    </xf>
    <xf numFmtId="6" fontId="4" fillId="0" borderId="0" xfId="0" applyNumberFormat="1" applyFont="1" applyAlignment="1">
      <alignment horizontal="right" vertical="center"/>
    </xf>
    <xf numFmtId="6" fontId="0" fillId="0" borderId="18" xfId="0" applyNumberFormat="1" applyBorder="1" applyAlignment="1">
      <alignment vertical="center"/>
    </xf>
    <xf numFmtId="6" fontId="0" fillId="0" borderId="20" xfId="0" applyNumberFormat="1" applyBorder="1" applyAlignment="1">
      <alignment vertical="center"/>
    </xf>
    <xf numFmtId="6" fontId="0" fillId="0" borderId="20" xfId="0" applyNumberFormat="1" applyBorder="1" applyAlignment="1">
      <alignment horizontal="center" vertical="center"/>
    </xf>
    <xf numFmtId="6" fontId="0" fillId="0" borderId="19" xfId="0" applyNumberFormat="1" applyBorder="1" applyAlignment="1">
      <alignment vertical="center"/>
    </xf>
    <xf numFmtId="6" fontId="45" fillId="4" borderId="0" xfId="0" applyNumberFormat="1" applyFont="1" applyFill="1" applyAlignment="1">
      <alignment horizontal="left" vertical="center"/>
    </xf>
    <xf numFmtId="0" fontId="0" fillId="0" borderId="5" xfId="0" applyBorder="1"/>
    <xf numFmtId="165" fontId="0" fillId="0" borderId="6" xfId="1" applyNumberFormat="1" applyFont="1" applyBorder="1" applyProtection="1"/>
    <xf numFmtId="0" fontId="0" fillId="0" borderId="18" xfId="0" applyBorder="1"/>
    <xf numFmtId="0" fontId="0" fillId="0" borderId="20" xfId="0" applyBorder="1"/>
    <xf numFmtId="0" fontId="0" fillId="0" borderId="17" xfId="0" applyBorder="1"/>
    <xf numFmtId="165" fontId="2" fillId="0" borderId="34" xfId="1" applyNumberFormat="1" applyFont="1" applyBorder="1" applyProtection="1"/>
    <xf numFmtId="0" fontId="0" fillId="0" borderId="16" xfId="0" applyBorder="1"/>
    <xf numFmtId="165" fontId="0" fillId="0" borderId="0" xfId="1" applyNumberFormat="1" applyFont="1" applyBorder="1" applyProtection="1"/>
    <xf numFmtId="0" fontId="2" fillId="0" borderId="20" xfId="0" applyFont="1" applyBorder="1"/>
    <xf numFmtId="0" fontId="0" fillId="0" borderId="0" xfId="0" applyAlignment="1">
      <alignment horizontal="center"/>
    </xf>
    <xf numFmtId="0" fontId="0" fillId="2" borderId="0" xfId="0" applyFill="1"/>
    <xf numFmtId="165" fontId="2" fillId="0" borderId="19" xfId="0" applyNumberFormat="1" applyFont="1" applyBorder="1"/>
    <xf numFmtId="165" fontId="2" fillId="0" borderId="0" xfId="1" applyNumberFormat="1" applyFont="1" applyBorder="1" applyProtection="1"/>
    <xf numFmtId="0" fontId="19" fillId="0" borderId="46" xfId="0" applyFont="1" applyBorder="1" applyAlignment="1">
      <alignment vertical="center"/>
    </xf>
    <xf numFmtId="164" fontId="10" fillId="0" borderId="47" xfId="0" applyNumberFormat="1" applyFont="1" applyBorder="1" applyAlignment="1">
      <alignment horizontal="center" vertical="center"/>
    </xf>
    <xf numFmtId="164" fontId="14" fillId="0" borderId="47" xfId="0" applyNumberFormat="1" applyFont="1" applyBorder="1" applyAlignment="1">
      <alignment horizontal="center" vertical="center"/>
    </xf>
    <xf numFmtId="164" fontId="14" fillId="0" borderId="48" xfId="0" applyNumberFormat="1" applyFont="1" applyBorder="1" applyAlignment="1">
      <alignment horizontal="center" vertical="center"/>
    </xf>
    <xf numFmtId="164" fontId="14" fillId="0" borderId="49" xfId="0" applyNumberFormat="1" applyFont="1" applyBorder="1" applyAlignment="1">
      <alignment horizontal="center" vertical="center"/>
    </xf>
    <xf numFmtId="166" fontId="0" fillId="0" borderId="50" xfId="0" applyNumberFormat="1" applyBorder="1" applyAlignment="1">
      <alignment vertical="center"/>
    </xf>
    <xf numFmtId="165" fontId="0" fillId="0" borderId="6" xfId="1" applyNumberFormat="1" applyFont="1" applyBorder="1"/>
    <xf numFmtId="165" fontId="0" fillId="0" borderId="25" xfId="1" applyNumberFormat="1" applyFont="1" applyBorder="1"/>
    <xf numFmtId="165" fontId="2" fillId="0" borderId="19" xfId="1" applyNumberFormat="1" applyFont="1" applyBorder="1"/>
    <xf numFmtId="165" fontId="0" fillId="0" borderId="19" xfId="1" applyNumberFormat="1" applyFont="1" applyBorder="1"/>
    <xf numFmtId="0" fontId="47" fillId="0" borderId="0" xfId="0" applyFont="1"/>
    <xf numFmtId="0" fontId="0" fillId="0" borderId="0" xfId="0" quotePrefix="1"/>
    <xf numFmtId="0" fontId="3" fillId="0" borderId="0" xfId="3" applyBorder="1" applyAlignment="1">
      <alignment textRotation="90"/>
    </xf>
    <xf numFmtId="0" fontId="4" fillId="0" borderId="2" xfId="3" applyFont="1" applyBorder="1"/>
    <xf numFmtId="0" fontId="4" fillId="0" borderId="33" xfId="3" applyFont="1" applyBorder="1"/>
    <xf numFmtId="0" fontId="3" fillId="0" borderId="0" xfId="1" applyNumberFormat="1" applyFont="1" applyBorder="1"/>
    <xf numFmtId="0" fontId="3" fillId="2" borderId="0" xfId="1" applyNumberFormat="1" applyFont="1" applyFill="1" applyBorder="1"/>
    <xf numFmtId="0" fontId="3" fillId="2" borderId="0" xfId="3" applyFill="1" applyBorder="1"/>
    <xf numFmtId="0" fontId="3" fillId="0" borderId="0" xfId="1" applyNumberFormat="1" applyFont="1" applyFill="1" applyBorder="1"/>
    <xf numFmtId="165" fontId="2" fillId="0" borderId="0" xfId="1" applyNumberFormat="1" applyFont="1" applyBorder="1"/>
    <xf numFmtId="165" fontId="2" fillId="0" borderId="36" xfId="1" applyNumberFormat="1" applyFont="1" applyBorder="1"/>
    <xf numFmtId="165" fontId="0" fillId="0" borderId="6" xfId="1" applyNumberFormat="1" applyFont="1" applyFill="1" applyBorder="1"/>
    <xf numFmtId="0" fontId="48" fillId="15" borderId="51" xfId="0" applyFont="1" applyFill="1" applyBorder="1" applyAlignment="1">
      <alignment vertical="center" wrapText="1"/>
    </xf>
    <xf numFmtId="0" fontId="49" fillId="0" borderId="0" xfId="0" applyFont="1" applyAlignment="1">
      <alignment horizontal="left" vertical="center"/>
    </xf>
    <xf numFmtId="0" fontId="50" fillId="0" borderId="0" xfId="3" applyFont="1" applyBorder="1" applyAlignment="1">
      <alignment vertical="center"/>
    </xf>
    <xf numFmtId="164" fontId="0" fillId="0" borderId="0" xfId="0" applyNumberFormat="1"/>
    <xf numFmtId="0" fontId="0" fillId="0" borderId="33" xfId="0" applyBorder="1"/>
    <xf numFmtId="164" fontId="0" fillId="0" borderId="33" xfId="0" applyNumberFormat="1" applyBorder="1"/>
    <xf numFmtId="0" fontId="51" fillId="0" borderId="0" xfId="0" applyFont="1"/>
    <xf numFmtId="6" fontId="26" fillId="0" borderId="13" xfId="0" applyNumberFormat="1" applyFont="1" applyBorder="1" applyAlignment="1">
      <alignment vertical="center"/>
    </xf>
    <xf numFmtId="6" fontId="11" fillId="0" borderId="1" xfId="0" applyNumberFormat="1" applyFont="1" applyBorder="1" applyAlignment="1">
      <alignment vertical="center"/>
    </xf>
    <xf numFmtId="6" fontId="11" fillId="0" borderId="3" xfId="0" applyNumberFormat="1" applyFont="1" applyBorder="1" applyAlignment="1">
      <alignment horizontal="center" vertical="center"/>
    </xf>
    <xf numFmtId="0" fontId="4" fillId="0" borderId="2" xfId="0" applyFont="1" applyBorder="1" applyAlignment="1">
      <alignment horizontal="center" vertical="center"/>
    </xf>
    <xf numFmtId="170" fontId="11" fillId="0" borderId="3" xfId="0" applyNumberFormat="1" applyFont="1" applyBorder="1" applyAlignment="1">
      <alignment horizontal="center" vertical="center"/>
    </xf>
    <xf numFmtId="170" fontId="11" fillId="0" borderId="1" xfId="0" applyNumberFormat="1" applyFont="1" applyBorder="1" applyAlignment="1">
      <alignment vertical="center"/>
    </xf>
    <xf numFmtId="0" fontId="3" fillId="0" borderId="3" xfId="0" applyFont="1" applyBorder="1" applyAlignment="1">
      <alignment vertical="distributed"/>
    </xf>
    <xf numFmtId="0" fontId="0" fillId="0" borderId="3" xfId="0" applyBorder="1" applyAlignment="1">
      <alignment vertical="distributed"/>
    </xf>
    <xf numFmtId="165" fontId="0" fillId="0" borderId="0" xfId="8" applyNumberFormat="1" applyFont="1" applyAlignment="1" applyProtection="1">
      <alignment vertical="center"/>
    </xf>
    <xf numFmtId="0" fontId="4" fillId="0" borderId="1" xfId="0" applyFont="1" applyBorder="1" applyAlignment="1">
      <alignment horizontal="center" vertical="center"/>
    </xf>
    <xf numFmtId="0" fontId="26" fillId="0" borderId="2" xfId="0" applyFont="1" applyBorder="1" applyAlignment="1">
      <alignment vertical="center"/>
    </xf>
    <xf numFmtId="0" fontId="3" fillId="0" borderId="3" xfId="0" applyFont="1" applyBorder="1" applyAlignment="1">
      <alignment vertical="center"/>
    </xf>
    <xf numFmtId="170" fontId="11" fillId="0" borderId="1" xfId="0" applyNumberFormat="1" applyFont="1" applyBorder="1" applyAlignment="1">
      <alignment horizontal="center" vertical="center"/>
    </xf>
    <xf numFmtId="170" fontId="11" fillId="0" borderId="45" xfId="0" applyNumberFormat="1" applyFont="1" applyBorder="1" applyAlignment="1">
      <alignment horizontal="center" vertical="center"/>
    </xf>
    <xf numFmtId="0" fontId="0" fillId="0" borderId="45" xfId="0" applyBorder="1" applyAlignment="1">
      <alignment vertical="center"/>
    </xf>
    <xf numFmtId="170" fontId="38" fillId="0" borderId="1" xfId="0" applyNumberFormat="1" applyFont="1" applyBorder="1" applyAlignment="1">
      <alignment vertical="center"/>
    </xf>
    <xf numFmtId="6" fontId="11" fillId="0" borderId="2" xfId="0" applyNumberFormat="1" applyFont="1" applyBorder="1" applyAlignment="1">
      <alignment horizontal="right" vertical="center"/>
    </xf>
    <xf numFmtId="6" fontId="44" fillId="0" borderId="0" xfId="0" applyNumberFormat="1" applyFont="1" applyAlignment="1">
      <alignment horizontal="center" vertical="center"/>
    </xf>
    <xf numFmtId="6" fontId="44" fillId="0" borderId="0" xfId="0" applyNumberFormat="1" applyFont="1" applyAlignment="1">
      <alignment horizontal="right" vertical="center"/>
    </xf>
    <xf numFmtId="9" fontId="43" fillId="0" borderId="5" xfId="2" applyFont="1" applyBorder="1" applyAlignment="1" applyProtection="1">
      <alignment horizontal="center" vertical="center"/>
    </xf>
    <xf numFmtId="169" fontId="43" fillId="0" borderId="5" xfId="2" applyNumberFormat="1" applyFont="1" applyBorder="1" applyAlignment="1" applyProtection="1">
      <alignment horizontal="center" vertical="center"/>
    </xf>
    <xf numFmtId="164" fontId="14" fillId="0" borderId="26" xfId="0" applyNumberFormat="1" applyFont="1" applyBorder="1" applyAlignment="1">
      <alignment horizontal="center" vertical="center"/>
    </xf>
    <xf numFmtId="164" fontId="14" fillId="0" borderId="22" xfId="0" applyNumberFormat="1" applyFont="1" applyBorder="1" applyAlignment="1">
      <alignment horizontal="center" vertical="center"/>
    </xf>
    <xf numFmtId="164" fontId="14" fillId="0" borderId="28" xfId="0" applyNumberFormat="1" applyFont="1" applyBorder="1" applyAlignment="1">
      <alignment horizontal="center" vertical="center"/>
    </xf>
    <xf numFmtId="0" fontId="4" fillId="11" borderId="21" xfId="0" applyFont="1" applyFill="1" applyBorder="1" applyAlignment="1">
      <alignment horizontal="center" vertical="top"/>
    </xf>
    <xf numFmtId="0" fontId="4" fillId="11" borderId="7" xfId="0" applyFont="1" applyFill="1" applyBorder="1" applyAlignment="1">
      <alignment horizontal="center" vertical="top"/>
    </xf>
    <xf numFmtId="0" fontId="2" fillId="0" borderId="15" xfId="0" applyFont="1" applyBorder="1"/>
    <xf numFmtId="0" fontId="2" fillId="0" borderId="18" xfId="0" applyFont="1" applyBorder="1"/>
    <xf numFmtId="0" fontId="0" fillId="0" borderId="19" xfId="0" applyBorder="1"/>
    <xf numFmtId="1" fontId="0" fillId="0" borderId="0" xfId="0" applyNumberFormat="1"/>
    <xf numFmtId="0" fontId="0" fillId="0" borderId="0" xfId="0" applyAlignment="1">
      <alignment horizontal="right"/>
    </xf>
    <xf numFmtId="0" fontId="53" fillId="0" borderId="0" xfId="0" applyFont="1"/>
    <xf numFmtId="0" fontId="0" fillId="0" borderId="1" xfId="0" applyBorder="1"/>
    <xf numFmtId="0" fontId="0" fillId="0" borderId="1" xfId="0" applyBorder="1" applyAlignment="1">
      <alignment horizontal="right"/>
    </xf>
    <xf numFmtId="0" fontId="53" fillId="0" borderId="1" xfId="0" applyFont="1" applyBorder="1" applyAlignment="1">
      <alignment horizontal="right"/>
    </xf>
    <xf numFmtId="0" fontId="0" fillId="0" borderId="1" xfId="0" applyBorder="1" applyAlignment="1">
      <alignment textRotation="90"/>
    </xf>
    <xf numFmtId="0" fontId="0" fillId="0" borderId="1" xfId="0" applyBorder="1" applyAlignment="1">
      <alignment horizontal="right" textRotation="90"/>
    </xf>
    <xf numFmtId="0" fontId="53" fillId="0" borderId="1" xfId="0" applyFont="1" applyBorder="1" applyAlignment="1">
      <alignment horizontal="right" textRotation="90"/>
    </xf>
    <xf numFmtId="0" fontId="0" fillId="0" borderId="58" xfId="0" applyBorder="1" applyAlignment="1">
      <alignment horizontal="right" textRotation="90"/>
    </xf>
    <xf numFmtId="0" fontId="0" fillId="0" borderId="0" xfId="0" applyAlignment="1">
      <alignment textRotation="90"/>
    </xf>
    <xf numFmtId="0" fontId="0" fillId="0" borderId="1" xfId="0" applyBorder="1" applyAlignment="1">
      <alignment wrapText="1"/>
    </xf>
    <xf numFmtId="6" fontId="4" fillId="0" borderId="0" xfId="0" applyNumberFormat="1" applyFont="1" applyAlignment="1" applyProtection="1">
      <alignment horizontal="center" vertical="center"/>
      <protection locked="0"/>
    </xf>
    <xf numFmtId="6" fontId="0" fillId="0" borderId="0" xfId="0" applyNumberFormat="1" applyAlignment="1" applyProtection="1">
      <alignment vertical="center"/>
      <protection locked="0"/>
    </xf>
    <xf numFmtId="6" fontId="11" fillId="0" borderId="14" xfId="0" applyNumberFormat="1" applyFont="1" applyBorder="1" applyAlignment="1" applyProtection="1">
      <alignment vertical="center"/>
      <protection locked="0"/>
    </xf>
    <xf numFmtId="14" fontId="0" fillId="0" borderId="0" xfId="1" quotePrefix="1" applyNumberFormat="1" applyFont="1"/>
    <xf numFmtId="0" fontId="0" fillId="0" borderId="0" xfId="0" applyAlignment="1">
      <alignment horizontal="left" wrapText="1"/>
    </xf>
    <xf numFmtId="2" fontId="3" fillId="0" borderId="0" xfId="3" applyNumberFormat="1" applyBorder="1"/>
    <xf numFmtId="0" fontId="0" fillId="9" borderId="0" xfId="0" applyFill="1"/>
    <xf numFmtId="0" fontId="0" fillId="9" borderId="0" xfId="0" applyFill="1" applyAlignment="1">
      <alignment wrapText="1"/>
    </xf>
    <xf numFmtId="0" fontId="0" fillId="9" borderId="1" xfId="0" applyFill="1" applyBorder="1" applyAlignment="1">
      <alignment horizontal="right"/>
    </xf>
    <xf numFmtId="0" fontId="0" fillId="9" borderId="1" xfId="0" applyFill="1" applyBorder="1" applyAlignment="1">
      <alignment horizontal="right" textRotation="90"/>
    </xf>
    <xf numFmtId="0" fontId="53" fillId="9" borderId="1" xfId="0" applyFont="1" applyFill="1" applyBorder="1" applyAlignment="1">
      <alignment horizontal="right"/>
    </xf>
    <xf numFmtId="1" fontId="0" fillId="9" borderId="0" xfId="0" applyNumberFormat="1" applyFill="1"/>
    <xf numFmtId="0" fontId="0" fillId="16" borderId="0" xfId="0" applyFill="1"/>
    <xf numFmtId="165" fontId="3" fillId="9" borderId="0" xfId="1" applyNumberFormat="1" applyFont="1" applyFill="1" applyBorder="1"/>
    <xf numFmtId="0" fontId="3" fillId="9" borderId="0" xfId="3" applyFill="1" applyBorder="1"/>
    <xf numFmtId="0" fontId="3" fillId="9" borderId="0" xfId="1" applyNumberFormat="1" applyFont="1" applyFill="1" applyBorder="1"/>
    <xf numFmtId="1" fontId="3" fillId="9" borderId="0" xfId="3" applyNumberFormat="1" applyFill="1" applyBorder="1"/>
    <xf numFmtId="0" fontId="0" fillId="0" borderId="0" xfId="0" applyProtection="1">
      <protection locked="0"/>
    </xf>
    <xf numFmtId="0" fontId="0" fillId="0" borderId="15" xfId="0" applyBorder="1" applyAlignment="1">
      <alignment horizontal="center"/>
    </xf>
    <xf numFmtId="0" fontId="0" fillId="0" borderId="5" xfId="0" applyBorder="1" applyAlignment="1">
      <alignment horizontal="center"/>
    </xf>
    <xf numFmtId="0" fontId="0" fillId="0" borderId="6" xfId="0" applyBorder="1"/>
    <xf numFmtId="0" fontId="0" fillId="0" borderId="18" xfId="0" applyBorder="1" applyAlignment="1">
      <alignment horizontal="center"/>
    </xf>
    <xf numFmtId="0" fontId="0" fillId="0" borderId="20" xfId="0" applyBorder="1" applyAlignment="1">
      <alignment wrapText="1"/>
    </xf>
    <xf numFmtId="0" fontId="0" fillId="0" borderId="0" xfId="0" applyAlignment="1" applyProtection="1">
      <alignment horizontal="center"/>
      <protection locked="0"/>
    </xf>
    <xf numFmtId="0" fontId="0" fillId="0" borderId="0" xfId="0" applyAlignment="1" applyProtection="1">
      <alignment wrapText="1"/>
      <protection locked="0"/>
    </xf>
    <xf numFmtId="0" fontId="73" fillId="0" borderId="0" xfId="0" applyFont="1"/>
    <xf numFmtId="0" fontId="74" fillId="0" borderId="0" xfId="0" applyFont="1" applyAlignment="1">
      <alignment horizontal="center"/>
    </xf>
    <xf numFmtId="0" fontId="74" fillId="0" borderId="0" xfId="0" applyFont="1" applyAlignment="1">
      <alignment horizontal="left" wrapText="1"/>
    </xf>
    <xf numFmtId="165" fontId="74" fillId="0" borderId="0" xfId="1" applyNumberFormat="1" applyFont="1" applyProtection="1"/>
    <xf numFmtId="0" fontId="74" fillId="0" borderId="0" xfId="0" applyFont="1"/>
    <xf numFmtId="165" fontId="74" fillId="0" borderId="0" xfId="1" applyNumberFormat="1" applyFont="1" applyProtection="1">
      <protection locked="0"/>
    </xf>
    <xf numFmtId="0" fontId="74" fillId="0" borderId="17" xfId="3" applyFont="1" applyBorder="1" applyAlignment="1">
      <alignment horizontal="left"/>
    </xf>
    <xf numFmtId="0" fontId="74" fillId="0" borderId="0" xfId="3" applyFont="1" applyBorder="1" applyAlignment="1">
      <alignment horizontal="left"/>
    </xf>
    <xf numFmtId="0" fontId="11" fillId="18" borderId="0" xfId="0" applyFont="1" applyFill="1" applyAlignment="1">
      <alignment vertical="center"/>
    </xf>
    <xf numFmtId="0" fontId="0" fillId="18" borderId="0" xfId="0" applyFill="1" applyAlignment="1">
      <alignment vertical="center"/>
    </xf>
    <xf numFmtId="0" fontId="15" fillId="18" borderId="15" xfId="0" applyFont="1" applyFill="1" applyBorder="1" applyAlignment="1">
      <alignment vertical="center"/>
    </xf>
    <xf numFmtId="166" fontId="16" fillId="18" borderId="16" xfId="0" applyNumberFormat="1" applyFont="1" applyFill="1" applyBorder="1" applyAlignment="1">
      <alignment horizontal="center" vertical="center"/>
    </xf>
    <xf numFmtId="0" fontId="3" fillId="18" borderId="5" xfId="0" applyFont="1" applyFill="1" applyBorder="1" applyAlignment="1">
      <alignment vertical="center"/>
    </xf>
    <xf numFmtId="0" fontId="0" fillId="18" borderId="6" xfId="0" applyFill="1" applyBorder="1" applyAlignment="1">
      <alignment vertical="center"/>
    </xf>
    <xf numFmtId="0" fontId="3" fillId="18" borderId="18" xfId="0" applyFont="1" applyFill="1" applyBorder="1" applyAlignment="1">
      <alignment vertical="center"/>
    </xf>
    <xf numFmtId="0" fontId="0" fillId="18" borderId="19" xfId="0" applyFill="1" applyBorder="1" applyAlignment="1">
      <alignment vertical="center"/>
    </xf>
    <xf numFmtId="164" fontId="17" fillId="18" borderId="15" xfId="0" applyNumberFormat="1" applyFont="1" applyFill="1" applyBorder="1" applyAlignment="1">
      <alignment horizontal="left" vertical="center"/>
    </xf>
    <xf numFmtId="0" fontId="16" fillId="18" borderId="17" xfId="0" applyFont="1" applyFill="1" applyBorder="1" applyAlignment="1">
      <alignment vertical="center"/>
    </xf>
    <xf numFmtId="0" fontId="0" fillId="18" borderId="0" xfId="0" applyFill="1" applyAlignment="1">
      <alignment horizontal="center" vertical="center"/>
    </xf>
    <xf numFmtId="166" fontId="3" fillId="18" borderId="5" xfId="0" applyNumberFormat="1" applyFont="1" applyFill="1" applyBorder="1" applyAlignment="1">
      <alignment vertical="center"/>
    </xf>
    <xf numFmtId="166" fontId="3" fillId="18" borderId="18" xfId="0" applyNumberFormat="1" applyFont="1" applyFill="1" applyBorder="1" applyAlignment="1">
      <alignment vertical="center"/>
    </xf>
    <xf numFmtId="0" fontId="0" fillId="18" borderId="20" xfId="0" applyFill="1" applyBorder="1" applyAlignment="1">
      <alignment vertical="center"/>
    </xf>
    <xf numFmtId="0" fontId="4" fillId="18" borderId="2" xfId="3" applyFont="1" applyFill="1" applyBorder="1"/>
    <xf numFmtId="0" fontId="4" fillId="18" borderId="0" xfId="3" applyFont="1" applyFill="1" applyBorder="1"/>
    <xf numFmtId="0" fontId="3" fillId="18" borderId="0" xfId="3" applyFill="1" applyBorder="1"/>
    <xf numFmtId="0" fontId="20" fillId="18" borderId="0" xfId="3" applyFont="1" applyFill="1" applyBorder="1"/>
    <xf numFmtId="164" fontId="3" fillId="18" borderId="0" xfId="3" applyNumberFormat="1" applyFill="1" applyBorder="1"/>
    <xf numFmtId="6" fontId="3" fillId="18" borderId="0" xfId="3" applyNumberFormat="1" applyFill="1" applyBorder="1"/>
    <xf numFmtId="165" fontId="0" fillId="2" borderId="0" xfId="1" applyNumberFormat="1" applyFont="1" applyFill="1"/>
    <xf numFmtId="6" fontId="58" fillId="0" borderId="3" xfId="0" applyNumberFormat="1" applyFont="1" applyBorder="1" applyAlignment="1" applyProtection="1">
      <alignment vertical="center"/>
      <protection hidden="1"/>
    </xf>
    <xf numFmtId="44" fontId="0" fillId="0" borderId="0" xfId="1" applyFont="1"/>
    <xf numFmtId="44" fontId="0" fillId="2" borderId="0" xfId="1" applyFont="1" applyFill="1"/>
    <xf numFmtId="6" fontId="62" fillId="0" borderId="14" xfId="0" applyNumberFormat="1" applyFont="1" applyBorder="1" applyAlignment="1" applyProtection="1">
      <alignment vertical="center"/>
      <protection hidden="1"/>
    </xf>
    <xf numFmtId="6" fontId="62" fillId="0" borderId="1" xfId="0" applyNumberFormat="1" applyFont="1" applyBorder="1" applyAlignment="1" applyProtection="1">
      <alignment horizontal="center" vertical="center"/>
      <protection hidden="1"/>
    </xf>
    <xf numFmtId="6" fontId="62" fillId="0" borderId="3" xfId="0" applyNumberFormat="1" applyFont="1" applyBorder="1" applyAlignment="1" applyProtection="1">
      <alignment horizontal="center" vertical="center"/>
      <protection hidden="1"/>
    </xf>
    <xf numFmtId="6" fontId="62" fillId="0" borderId="14" xfId="0" applyNumberFormat="1" applyFont="1" applyBorder="1" applyAlignment="1" applyProtection="1">
      <alignment horizontal="right" vertical="center"/>
      <protection hidden="1"/>
    </xf>
    <xf numFmtId="6" fontId="58" fillId="0" borderId="8" xfId="0" applyNumberFormat="1" applyFont="1" applyBorder="1" applyAlignment="1" applyProtection="1">
      <alignment horizontal="left" vertical="center"/>
      <protection hidden="1"/>
    </xf>
    <xf numFmtId="6" fontId="54" fillId="0" borderId="43" xfId="0" applyNumberFormat="1" applyFont="1" applyBorder="1" applyAlignment="1" applyProtection="1">
      <alignment horizontal="left" vertical="center"/>
      <protection hidden="1"/>
    </xf>
    <xf numFmtId="6" fontId="58" fillId="0" borderId="13" xfId="0" applyNumberFormat="1" applyFont="1" applyBorder="1" applyAlignment="1" applyProtection="1">
      <alignment vertical="center"/>
      <protection hidden="1"/>
    </xf>
    <xf numFmtId="6" fontId="58" fillId="0" borderId="30" xfId="0" applyNumberFormat="1" applyFont="1" applyBorder="1" applyAlignment="1" applyProtection="1">
      <alignment vertical="center"/>
      <protection hidden="1"/>
    </xf>
    <xf numFmtId="0" fontId="53" fillId="0" borderId="5" xfId="0" applyFont="1" applyBorder="1" applyProtection="1">
      <protection hidden="1"/>
    </xf>
    <xf numFmtId="0" fontId="53" fillId="0" borderId="0" xfId="0" applyFont="1" applyProtection="1">
      <protection hidden="1"/>
    </xf>
    <xf numFmtId="6" fontId="0" fillId="0" borderId="0" xfId="0" applyNumberFormat="1" applyAlignment="1" applyProtection="1">
      <alignment vertical="center"/>
      <protection hidden="1"/>
    </xf>
    <xf numFmtId="0" fontId="0" fillId="2" borderId="60" xfId="0" applyFill="1" applyBorder="1" applyProtection="1">
      <protection hidden="1"/>
    </xf>
    <xf numFmtId="44" fontId="0" fillId="2" borderId="60" xfId="1" applyFont="1" applyFill="1" applyBorder="1" applyProtection="1">
      <protection hidden="1"/>
    </xf>
    <xf numFmtId="6" fontId="0" fillId="0" borderId="0" xfId="0" applyNumberFormat="1" applyProtection="1">
      <protection hidden="1"/>
    </xf>
    <xf numFmtId="0" fontId="0" fillId="2" borderId="58" xfId="0" applyFill="1" applyBorder="1" applyProtection="1">
      <protection hidden="1"/>
    </xf>
    <xf numFmtId="44" fontId="0" fillId="2" borderId="58" xfId="1" applyFont="1" applyFill="1" applyBorder="1" applyProtection="1">
      <protection hidden="1"/>
    </xf>
    <xf numFmtId="6" fontId="46" fillId="0" borderId="0" xfId="0" applyNumberFormat="1" applyFont="1" applyAlignment="1" applyProtection="1">
      <alignment vertical="center"/>
      <protection hidden="1"/>
    </xf>
    <xf numFmtId="0" fontId="0" fillId="0" borderId="58" xfId="0" applyBorder="1" applyProtection="1">
      <protection hidden="1"/>
    </xf>
    <xf numFmtId="44" fontId="0" fillId="0" borderId="58" xfId="1" applyFont="1" applyFill="1" applyBorder="1" applyProtection="1">
      <protection hidden="1"/>
    </xf>
    <xf numFmtId="6" fontId="0" fillId="0" borderId="58" xfId="0" applyNumberFormat="1" applyBorder="1" applyAlignment="1" applyProtection="1">
      <alignment vertical="center"/>
      <protection hidden="1"/>
    </xf>
    <xf numFmtId="6" fontId="0" fillId="0" borderId="9" xfId="0" applyNumberFormat="1" applyBorder="1" applyAlignment="1" applyProtection="1">
      <alignment vertical="center"/>
      <protection hidden="1"/>
    </xf>
    <xf numFmtId="6" fontId="0" fillId="0" borderId="0" xfId="0" applyNumberFormat="1" applyAlignment="1" applyProtection="1">
      <alignment horizontal="left" vertical="top"/>
      <protection hidden="1"/>
    </xf>
    <xf numFmtId="6" fontId="56" fillId="0" borderId="0" xfId="0" applyNumberFormat="1" applyFont="1" applyAlignment="1" applyProtection="1">
      <alignment vertical="center"/>
      <protection hidden="1"/>
    </xf>
    <xf numFmtId="6" fontId="59" fillId="0" borderId="0" xfId="7" applyNumberFormat="1" applyFont="1" applyAlignment="1" applyProtection="1">
      <alignment vertical="center"/>
      <protection hidden="1"/>
    </xf>
    <xf numFmtId="6" fontId="58" fillId="0" borderId="0" xfId="0" applyNumberFormat="1" applyFont="1" applyAlignment="1" applyProtection="1">
      <alignment horizontal="left" vertical="center"/>
      <protection hidden="1"/>
    </xf>
    <xf numFmtId="6" fontId="0" fillId="0" borderId="0" xfId="0" applyNumberFormat="1" applyAlignment="1" applyProtection="1">
      <alignment horizontal="left" vertical="center"/>
      <protection hidden="1"/>
    </xf>
    <xf numFmtId="6" fontId="0" fillId="0" borderId="0" xfId="0" applyNumberFormat="1" applyAlignment="1" applyProtection="1">
      <alignment vertical="center" wrapText="1"/>
      <protection hidden="1"/>
    </xf>
    <xf numFmtId="6" fontId="61" fillId="0" borderId="0" xfId="0" applyNumberFormat="1" applyFont="1" applyAlignment="1" applyProtection="1">
      <alignment vertical="center"/>
      <protection hidden="1"/>
    </xf>
    <xf numFmtId="0" fontId="0" fillId="0" borderId="0" xfId="0" applyProtection="1">
      <protection hidden="1"/>
    </xf>
    <xf numFmtId="6" fontId="58" fillId="0" borderId="0" xfId="0" applyNumberFormat="1" applyFont="1" applyAlignment="1" applyProtection="1">
      <alignment vertical="center"/>
      <protection hidden="1"/>
    </xf>
    <xf numFmtId="6" fontId="63" fillId="0" borderId="0" xfId="0" applyNumberFormat="1" applyFont="1" applyAlignment="1" applyProtection="1">
      <alignment vertical="center"/>
      <protection hidden="1"/>
    </xf>
    <xf numFmtId="6" fontId="0" fillId="0" borderId="39" xfId="0" applyNumberFormat="1" applyBorder="1" applyAlignment="1" applyProtection="1">
      <alignment horizontal="left" vertical="center"/>
      <protection hidden="1"/>
    </xf>
    <xf numFmtId="6" fontId="0" fillId="0" borderId="1" xfId="0" applyNumberFormat="1" applyBorder="1" applyAlignment="1" applyProtection="1">
      <alignment vertical="center"/>
      <protection hidden="1"/>
    </xf>
    <xf numFmtId="44" fontId="0" fillId="0" borderId="1" xfId="1" applyFont="1" applyBorder="1" applyAlignment="1" applyProtection="1">
      <alignment horizontal="center" vertical="center"/>
      <protection hidden="1"/>
    </xf>
    <xf numFmtId="6" fontId="61" fillId="0" borderId="1" xfId="0" applyNumberFormat="1" applyFont="1" applyBorder="1" applyAlignment="1" applyProtection="1">
      <alignment vertical="center"/>
      <protection hidden="1"/>
    </xf>
    <xf numFmtId="6" fontId="0" fillId="0" borderId="40" xfId="0" applyNumberFormat="1" applyBorder="1" applyAlignment="1" applyProtection="1">
      <alignment vertical="center"/>
      <protection hidden="1"/>
    </xf>
    <xf numFmtId="6" fontId="65" fillId="14" borderId="40" xfId="0" applyNumberFormat="1" applyFont="1" applyFill="1" applyBorder="1" applyAlignment="1" applyProtection="1">
      <alignment vertical="center"/>
      <protection hidden="1"/>
    </xf>
    <xf numFmtId="6" fontId="0" fillId="14" borderId="0" xfId="0" applyNumberFormat="1" applyFill="1" applyAlignment="1" applyProtection="1">
      <alignment vertical="center"/>
      <protection hidden="1"/>
    </xf>
    <xf numFmtId="6" fontId="65" fillId="14" borderId="0" xfId="0" applyNumberFormat="1" applyFont="1" applyFill="1" applyAlignment="1" applyProtection="1">
      <alignment vertical="center"/>
      <protection hidden="1"/>
    </xf>
    <xf numFmtId="6" fontId="0" fillId="0" borderId="1" xfId="0" applyNumberFormat="1" applyBorder="1" applyAlignment="1" applyProtection="1">
      <alignment vertical="center" wrapText="1"/>
      <protection hidden="1"/>
    </xf>
    <xf numFmtId="6" fontId="0" fillId="14" borderId="0" xfId="0" applyNumberFormat="1" applyFill="1" applyAlignment="1" applyProtection="1">
      <alignment vertical="center" wrapText="1"/>
      <protection hidden="1"/>
    </xf>
    <xf numFmtId="6" fontId="65" fillId="14" borderId="0" xfId="0" applyNumberFormat="1" applyFont="1" applyFill="1" applyAlignment="1" applyProtection="1">
      <alignment vertical="center" wrapText="1"/>
      <protection hidden="1"/>
    </xf>
    <xf numFmtId="6" fontId="58" fillId="0" borderId="1" xfId="0" applyNumberFormat="1" applyFont="1" applyBorder="1" applyAlignment="1" applyProtection="1">
      <alignment vertical="center"/>
      <protection hidden="1"/>
    </xf>
    <xf numFmtId="6" fontId="61" fillId="0" borderId="5" xfId="0" applyNumberFormat="1" applyFont="1" applyBorder="1" applyAlignment="1" applyProtection="1">
      <alignment vertical="center"/>
      <protection hidden="1"/>
    </xf>
    <xf numFmtId="6" fontId="54" fillId="0" borderId="0" xfId="0" applyNumberFormat="1" applyFont="1" applyAlignment="1" applyProtection="1">
      <alignment vertical="center"/>
      <protection hidden="1"/>
    </xf>
    <xf numFmtId="44" fontId="58" fillId="0" borderId="1" xfId="1" applyFont="1" applyBorder="1" applyAlignment="1" applyProtection="1">
      <alignment vertical="center"/>
      <protection hidden="1"/>
    </xf>
    <xf numFmtId="44" fontId="0" fillId="0" borderId="1" xfId="1" applyFont="1" applyBorder="1" applyAlignment="1" applyProtection="1">
      <alignment vertical="center"/>
      <protection hidden="1"/>
    </xf>
    <xf numFmtId="6" fontId="0" fillId="0" borderId="0" xfId="0" applyNumberFormat="1" applyAlignment="1" applyProtection="1">
      <alignment horizontal="center" vertical="center"/>
      <protection hidden="1"/>
    </xf>
    <xf numFmtId="6" fontId="0" fillId="0" borderId="15" xfId="0" applyNumberFormat="1" applyBorder="1" applyAlignment="1" applyProtection="1">
      <alignment vertical="center"/>
      <protection hidden="1"/>
    </xf>
    <xf numFmtId="6" fontId="0" fillId="0" borderId="17" xfId="0" applyNumberFormat="1" applyBorder="1" applyAlignment="1" applyProtection="1">
      <alignment vertical="center"/>
      <protection hidden="1"/>
    </xf>
    <xf numFmtId="6" fontId="0" fillId="0" borderId="17" xfId="0" applyNumberFormat="1" applyBorder="1" applyAlignment="1" applyProtection="1">
      <alignment horizontal="center" vertical="center"/>
      <protection hidden="1"/>
    </xf>
    <xf numFmtId="6" fontId="0" fillId="0" borderId="16" xfId="0" applyNumberFormat="1" applyBorder="1" applyAlignment="1" applyProtection="1">
      <alignment vertical="center"/>
      <protection hidden="1"/>
    </xf>
    <xf numFmtId="6" fontId="0" fillId="0" borderId="5" xfId="0" applyNumberFormat="1" applyBorder="1" applyProtection="1">
      <protection hidden="1"/>
    </xf>
    <xf numFmtId="6" fontId="53" fillId="0" borderId="0" xfId="0" applyNumberFormat="1" applyFont="1" applyAlignment="1" applyProtection="1">
      <alignment horizontal="center"/>
      <protection hidden="1"/>
    </xf>
    <xf numFmtId="6" fontId="0" fillId="0" borderId="6" xfId="0" applyNumberFormat="1" applyBorder="1" applyProtection="1">
      <protection hidden="1"/>
    </xf>
    <xf numFmtId="6" fontId="54" fillId="0" borderId="5" xfId="0" applyNumberFormat="1" applyFont="1" applyBorder="1" applyAlignment="1" applyProtection="1">
      <alignment vertical="center"/>
      <protection hidden="1"/>
    </xf>
    <xf numFmtId="6" fontId="46" fillId="0" borderId="0" xfId="0" applyNumberFormat="1" applyFont="1" applyAlignment="1" applyProtection="1">
      <alignment horizontal="center"/>
      <protection hidden="1"/>
    </xf>
    <xf numFmtId="6" fontId="0" fillId="0" borderId="6" xfId="0" applyNumberFormat="1" applyBorder="1" applyAlignment="1" applyProtection="1">
      <alignment vertical="center"/>
      <protection hidden="1"/>
    </xf>
    <xf numFmtId="6" fontId="46" fillId="0" borderId="5" xfId="0" applyNumberFormat="1" applyFont="1" applyBorder="1" applyAlignment="1" applyProtection="1">
      <alignment vertical="center"/>
      <protection hidden="1"/>
    </xf>
    <xf numFmtId="6" fontId="46" fillId="0" borderId="0" xfId="0" applyNumberFormat="1" applyFont="1" applyAlignment="1" applyProtection="1">
      <alignment horizontal="right"/>
      <protection hidden="1"/>
    </xf>
    <xf numFmtId="6" fontId="53" fillId="0" borderId="5" xfId="0" applyNumberFormat="1" applyFont="1" applyBorder="1" applyProtection="1">
      <protection hidden="1"/>
    </xf>
    <xf numFmtId="6" fontId="0" fillId="0" borderId="0" xfId="0" applyNumberFormat="1" applyAlignment="1" applyProtection="1">
      <alignment horizontal="center"/>
      <protection hidden="1"/>
    </xf>
    <xf numFmtId="6" fontId="53" fillId="0" borderId="5" xfId="0" applyNumberFormat="1" applyFont="1" applyBorder="1" applyAlignment="1" applyProtection="1">
      <alignment horizontal="right"/>
      <protection hidden="1"/>
    </xf>
    <xf numFmtId="6" fontId="55" fillId="0" borderId="5" xfId="0" applyNumberFormat="1" applyFont="1" applyBorder="1" applyProtection="1">
      <protection hidden="1"/>
    </xf>
    <xf numFmtId="6" fontId="58" fillId="0" borderId="5" xfId="0" applyNumberFormat="1" applyFont="1" applyBorder="1" applyAlignment="1" applyProtection="1">
      <alignment horizontal="left" indent="1"/>
      <protection hidden="1"/>
    </xf>
    <xf numFmtId="6" fontId="82" fillId="0" borderId="0" xfId="0" applyNumberFormat="1" applyFont="1" applyProtection="1">
      <protection hidden="1"/>
    </xf>
    <xf numFmtId="6" fontId="53" fillId="0" borderId="18" xfId="0" applyNumberFormat="1" applyFont="1" applyBorder="1" applyProtection="1">
      <protection hidden="1"/>
    </xf>
    <xf numFmtId="6" fontId="0" fillId="0" borderId="20" xfId="0" applyNumberFormat="1" applyBorder="1" applyProtection="1">
      <protection hidden="1"/>
    </xf>
    <xf numFmtId="6" fontId="0" fillId="0" borderId="20" xfId="0" applyNumberFormat="1" applyBorder="1" applyAlignment="1" applyProtection="1">
      <alignment horizontal="center"/>
      <protection hidden="1"/>
    </xf>
    <xf numFmtId="6" fontId="0" fillId="0" borderId="19" xfId="0" applyNumberFormat="1" applyBorder="1" applyProtection="1">
      <protection hidden="1"/>
    </xf>
    <xf numFmtId="6" fontId="53" fillId="0" borderId="0" xfId="0" applyNumberFormat="1" applyFont="1" applyProtection="1">
      <protection hidden="1"/>
    </xf>
    <xf numFmtId="6" fontId="57" fillId="0" borderId="20" xfId="0" applyNumberFormat="1" applyFont="1" applyBorder="1" applyAlignment="1" applyProtection="1">
      <alignment horizontal="center" vertical="center"/>
      <protection hidden="1"/>
    </xf>
    <xf numFmtId="6" fontId="57" fillId="0" borderId="20" xfId="0" applyNumberFormat="1" applyFont="1" applyBorder="1" applyAlignment="1" applyProtection="1">
      <alignment horizontal="left" vertical="center"/>
      <protection hidden="1"/>
    </xf>
    <xf numFmtId="6" fontId="57" fillId="0" borderId="19" xfId="0" applyNumberFormat="1" applyFont="1" applyBorder="1" applyAlignment="1" applyProtection="1">
      <alignment horizontal="left" vertical="center"/>
      <protection hidden="1"/>
    </xf>
    <xf numFmtId="6" fontId="60" fillId="17" borderId="13" xfId="0" applyNumberFormat="1" applyFont="1" applyFill="1" applyBorder="1" applyAlignment="1" applyProtection="1">
      <alignment vertical="center"/>
      <protection hidden="1"/>
    </xf>
    <xf numFmtId="6" fontId="61" fillId="17" borderId="3" xfId="0" applyNumberFormat="1" applyFont="1" applyFill="1" applyBorder="1" applyAlignment="1" applyProtection="1">
      <alignment vertical="center"/>
      <protection hidden="1"/>
    </xf>
    <xf numFmtId="6" fontId="61" fillId="17" borderId="3" xfId="0" applyNumberFormat="1" applyFont="1" applyFill="1" applyBorder="1" applyAlignment="1" applyProtection="1">
      <alignment vertical="distributed"/>
      <protection hidden="1"/>
    </xf>
    <xf numFmtId="6" fontId="0" fillId="17" borderId="3" xfId="0" applyNumberFormat="1" applyFill="1" applyBorder="1" applyAlignment="1" applyProtection="1">
      <alignment vertical="distributed"/>
      <protection hidden="1"/>
    </xf>
    <xf numFmtId="6" fontId="64" fillId="0" borderId="20" xfId="0" applyNumberFormat="1" applyFont="1" applyBorder="1" applyAlignment="1" applyProtection="1">
      <alignment horizontal="center" vertical="center"/>
      <protection hidden="1"/>
    </xf>
    <xf numFmtId="6" fontId="64" fillId="0" borderId="19" xfId="0" applyNumberFormat="1" applyFont="1" applyBorder="1" applyAlignment="1" applyProtection="1">
      <alignment horizontal="center" vertical="center"/>
      <protection hidden="1"/>
    </xf>
    <xf numFmtId="6" fontId="64" fillId="0" borderId="9" xfId="0" applyNumberFormat="1" applyFont="1" applyBorder="1" applyAlignment="1" applyProtection="1">
      <alignment horizontal="center" vertical="center"/>
      <protection hidden="1"/>
    </xf>
    <xf numFmtId="6" fontId="64" fillId="0" borderId="10" xfId="0" applyNumberFormat="1" applyFont="1" applyBorder="1" applyAlignment="1" applyProtection="1">
      <alignment horizontal="center" vertical="center"/>
      <protection hidden="1"/>
    </xf>
    <xf numFmtId="6" fontId="62" fillId="0" borderId="1" xfId="0" applyNumberFormat="1" applyFont="1" applyBorder="1" applyAlignment="1" applyProtection="1">
      <alignment vertical="center"/>
      <protection hidden="1"/>
    </xf>
    <xf numFmtId="6" fontId="66" fillId="0" borderId="1" xfId="0" applyNumberFormat="1" applyFont="1" applyBorder="1" applyAlignment="1" applyProtection="1">
      <alignment vertical="center"/>
      <protection hidden="1"/>
    </xf>
    <xf numFmtId="6" fontId="62" fillId="0" borderId="33" xfId="0" applyNumberFormat="1" applyFont="1" applyBorder="1" applyAlignment="1" applyProtection="1">
      <alignment vertical="center"/>
      <protection hidden="1"/>
    </xf>
    <xf numFmtId="6" fontId="67" fillId="0" borderId="5" xfId="0" applyNumberFormat="1" applyFont="1" applyBorder="1" applyProtection="1">
      <protection hidden="1"/>
    </xf>
    <xf numFmtId="6" fontId="68" fillId="0" borderId="0" xfId="0" applyNumberFormat="1" applyFont="1" applyAlignment="1" applyProtection="1">
      <alignment horizontal="right" vertical="center"/>
      <protection hidden="1"/>
    </xf>
    <xf numFmtId="6" fontId="54" fillId="0" borderId="0" xfId="0" applyNumberFormat="1" applyFont="1" applyAlignment="1" applyProtection="1">
      <alignment horizontal="center" vertical="center"/>
      <protection hidden="1"/>
    </xf>
    <xf numFmtId="6" fontId="54" fillId="0" borderId="6" xfId="0" applyNumberFormat="1" applyFont="1" applyBorder="1" applyAlignment="1" applyProtection="1">
      <alignment horizontal="center" vertical="center"/>
      <protection hidden="1"/>
    </xf>
    <xf numFmtId="6" fontId="69" fillId="0" borderId="20" xfId="0" applyNumberFormat="1" applyFont="1" applyBorder="1" applyAlignment="1" applyProtection="1">
      <alignment horizontal="center" vertical="center"/>
      <protection hidden="1"/>
    </xf>
    <xf numFmtId="6" fontId="69" fillId="0" borderId="19" xfId="0" applyNumberFormat="1" applyFont="1" applyBorder="1" applyAlignment="1" applyProtection="1">
      <alignment horizontal="center" vertical="center"/>
      <protection hidden="1"/>
    </xf>
    <xf numFmtId="6" fontId="70" fillId="0" borderId="0" xfId="0" applyNumberFormat="1" applyFont="1" applyAlignment="1" applyProtection="1">
      <alignment horizontal="right" vertical="center"/>
      <protection hidden="1"/>
    </xf>
    <xf numFmtId="6" fontId="69" fillId="0" borderId="0" xfId="0" applyNumberFormat="1" applyFont="1" applyAlignment="1" applyProtection="1">
      <alignment horizontal="center" vertical="center"/>
      <protection hidden="1"/>
    </xf>
    <xf numFmtId="6" fontId="54" fillId="0" borderId="15" xfId="0" applyNumberFormat="1" applyFont="1" applyBorder="1" applyAlignment="1" applyProtection="1">
      <alignment vertical="center"/>
      <protection hidden="1"/>
    </xf>
    <xf numFmtId="6" fontId="70" fillId="0" borderId="17" xfId="0" applyNumberFormat="1" applyFont="1" applyBorder="1" applyAlignment="1" applyProtection="1">
      <alignment horizontal="right" vertical="center"/>
      <protection hidden="1"/>
    </xf>
    <xf numFmtId="6" fontId="69" fillId="0" borderId="17" xfId="0" applyNumberFormat="1" applyFont="1" applyBorder="1" applyAlignment="1" applyProtection="1">
      <alignment horizontal="center" vertical="center"/>
      <protection hidden="1"/>
    </xf>
    <xf numFmtId="6" fontId="69" fillId="0" borderId="16" xfId="0" applyNumberFormat="1" applyFont="1" applyBorder="1" applyAlignment="1" applyProtection="1">
      <alignment horizontal="center" vertical="center"/>
      <protection hidden="1"/>
    </xf>
    <xf numFmtId="6" fontId="69" fillId="0" borderId="6" xfId="0" applyNumberFormat="1" applyFont="1" applyBorder="1" applyAlignment="1" applyProtection="1">
      <alignment horizontal="center" vertical="center"/>
      <protection hidden="1"/>
    </xf>
    <xf numFmtId="6" fontId="79" fillId="0" borderId="0" xfId="0" applyNumberFormat="1" applyFont="1" applyAlignment="1" applyProtection="1">
      <alignment horizontal="left" vertical="center"/>
      <protection hidden="1"/>
    </xf>
    <xf numFmtId="6" fontId="0" fillId="0" borderId="5" xfId="0" applyNumberFormat="1" applyBorder="1" applyAlignment="1" applyProtection="1">
      <alignment vertical="center"/>
      <protection hidden="1"/>
    </xf>
    <xf numFmtId="6" fontId="60" fillId="0" borderId="0" xfId="0" applyNumberFormat="1" applyFont="1" applyAlignment="1" applyProtection="1">
      <alignment horizontal="center" vertical="center"/>
      <protection hidden="1"/>
    </xf>
    <xf numFmtId="6" fontId="58" fillId="0" borderId="0" xfId="0" applyNumberFormat="1" applyFont="1" applyAlignment="1" applyProtection="1">
      <alignment horizontal="center" vertical="center"/>
      <protection hidden="1"/>
    </xf>
    <xf numFmtId="6" fontId="61" fillId="0" borderId="6" xfId="0" applyNumberFormat="1" applyFont="1" applyBorder="1" applyAlignment="1" applyProtection="1">
      <alignment vertical="center"/>
      <protection hidden="1"/>
    </xf>
    <xf numFmtId="6" fontId="58" fillId="0" borderId="5" xfId="0" applyNumberFormat="1" applyFont="1" applyBorder="1" applyAlignment="1" applyProtection="1">
      <alignment horizontal="center" vertical="center"/>
      <protection hidden="1"/>
    </xf>
    <xf numFmtId="6" fontId="71" fillId="0" borderId="5" xfId="0" applyNumberFormat="1" applyFont="1" applyBorder="1" applyAlignment="1" applyProtection="1">
      <alignment horizontal="center" vertical="center"/>
      <protection hidden="1"/>
    </xf>
    <xf numFmtId="6" fontId="72" fillId="0" borderId="0" xfId="0" applyNumberFormat="1" applyFont="1" applyAlignment="1" applyProtection="1">
      <alignment horizontal="left" vertical="center"/>
      <protection hidden="1"/>
    </xf>
    <xf numFmtId="6" fontId="72" fillId="0" borderId="0" xfId="0" applyNumberFormat="1" applyFont="1" applyAlignment="1" applyProtection="1">
      <alignment horizontal="center" vertical="center"/>
      <protection hidden="1"/>
    </xf>
    <xf numFmtId="6" fontId="72" fillId="0" borderId="0" xfId="0" applyNumberFormat="1" applyFont="1" applyAlignment="1" applyProtection="1">
      <alignment horizontal="right" vertical="center"/>
      <protection hidden="1"/>
    </xf>
    <xf numFmtId="9" fontId="76" fillId="0" borderId="5" xfId="2" applyFont="1" applyBorder="1" applyAlignment="1" applyProtection="1">
      <alignment horizontal="center" vertical="center"/>
      <protection hidden="1"/>
    </xf>
    <xf numFmtId="6" fontId="76" fillId="0" borderId="0" xfId="0" applyNumberFormat="1" applyFont="1" applyAlignment="1" applyProtection="1">
      <alignment vertical="center"/>
      <protection hidden="1"/>
    </xf>
    <xf numFmtId="6" fontId="76" fillId="0" borderId="0" xfId="0" applyNumberFormat="1" applyFont="1" applyAlignment="1" applyProtection="1">
      <alignment horizontal="center" vertical="center"/>
      <protection hidden="1"/>
    </xf>
    <xf numFmtId="6" fontId="76" fillId="0" borderId="0" xfId="0" applyNumberFormat="1" applyFont="1" applyAlignment="1" applyProtection="1">
      <alignment horizontal="right" vertical="center"/>
      <protection hidden="1"/>
    </xf>
    <xf numFmtId="169" fontId="76" fillId="0" borderId="5" xfId="2" applyNumberFormat="1" applyFont="1" applyBorder="1" applyAlignment="1" applyProtection="1">
      <alignment horizontal="center" vertical="center"/>
      <protection hidden="1"/>
    </xf>
    <xf numFmtId="6" fontId="77" fillId="0" borderId="0" xfId="0" applyNumberFormat="1" applyFont="1" applyAlignment="1" applyProtection="1">
      <alignment horizontal="center" vertical="center"/>
      <protection hidden="1"/>
    </xf>
    <xf numFmtId="6" fontId="58" fillId="0" borderId="0" xfId="0" applyNumberFormat="1" applyFont="1" applyAlignment="1" applyProtection="1">
      <alignment horizontal="right" vertical="center"/>
      <protection hidden="1"/>
    </xf>
    <xf numFmtId="6" fontId="61" fillId="0" borderId="0" xfId="0" applyNumberFormat="1" applyFont="1" applyAlignment="1" applyProtection="1">
      <alignment horizontal="center" vertical="center"/>
      <protection hidden="1"/>
    </xf>
    <xf numFmtId="6" fontId="0" fillId="0" borderId="18" xfId="0" applyNumberFormat="1" applyBorder="1" applyAlignment="1" applyProtection="1">
      <alignment vertical="center"/>
      <protection hidden="1"/>
    </xf>
    <xf numFmtId="6" fontId="0" fillId="0" borderId="20" xfId="0" applyNumberFormat="1" applyBorder="1" applyAlignment="1" applyProtection="1">
      <alignment vertical="center"/>
      <protection hidden="1"/>
    </xf>
    <xf numFmtId="6" fontId="0" fillId="0" borderId="20" xfId="0" applyNumberFormat="1" applyBorder="1" applyAlignment="1" applyProtection="1">
      <alignment horizontal="center" vertical="center"/>
      <protection hidden="1"/>
    </xf>
    <xf numFmtId="6" fontId="0" fillId="0" borderId="19" xfId="0" applyNumberFormat="1" applyBorder="1" applyAlignment="1" applyProtection="1">
      <alignment vertical="center"/>
      <protection hidden="1"/>
    </xf>
    <xf numFmtId="44" fontId="0" fillId="0" borderId="58" xfId="1" applyFont="1" applyBorder="1" applyAlignment="1" applyProtection="1">
      <alignment vertical="center"/>
      <protection hidden="1"/>
    </xf>
    <xf numFmtId="44" fontId="0" fillId="0" borderId="9" xfId="1" applyFont="1" applyBorder="1" applyAlignment="1" applyProtection="1">
      <alignment vertical="center"/>
      <protection hidden="1"/>
    </xf>
    <xf numFmtId="44" fontId="0" fillId="0" borderId="0" xfId="1" applyFont="1" applyAlignment="1" applyProtection="1">
      <alignment vertical="center"/>
      <protection hidden="1"/>
    </xf>
    <xf numFmtId="44" fontId="61" fillId="0" borderId="0" xfId="1" applyFont="1" applyAlignment="1" applyProtection="1">
      <alignment vertical="center"/>
      <protection hidden="1"/>
    </xf>
    <xf numFmtId="6" fontId="62" fillId="0" borderId="1" xfId="0" applyNumberFormat="1" applyFont="1" applyBorder="1" applyAlignment="1" applyProtection="1">
      <alignment vertical="center"/>
      <protection locked="0"/>
    </xf>
    <xf numFmtId="6" fontId="62" fillId="0" borderId="3" xfId="0" applyNumberFormat="1" applyFont="1" applyBorder="1" applyAlignment="1" applyProtection="1">
      <alignment horizontal="center" vertical="center"/>
      <protection locked="0"/>
    </xf>
    <xf numFmtId="6" fontId="58" fillId="0" borderId="1" xfId="0" applyNumberFormat="1" applyFont="1" applyBorder="1" applyAlignment="1" applyProtection="1">
      <alignment horizontal="left" vertical="center"/>
      <protection locked="0"/>
    </xf>
    <xf numFmtId="44" fontId="0" fillId="0" borderId="1" xfId="1" applyFont="1" applyFill="1" applyBorder="1" applyAlignment="1" applyProtection="1">
      <alignment horizontal="left" vertical="center"/>
      <protection locked="0"/>
    </xf>
    <xf numFmtId="6" fontId="0" fillId="0" borderId="1" xfId="0" applyNumberFormat="1" applyBorder="1" applyAlignment="1" applyProtection="1">
      <alignment vertical="center"/>
      <protection locked="0"/>
    </xf>
    <xf numFmtId="44" fontId="0" fillId="0" borderId="1" xfId="1" applyFont="1" applyFill="1" applyBorder="1" applyAlignment="1" applyProtection="1">
      <alignment vertical="center"/>
      <protection locked="0"/>
    </xf>
    <xf numFmtId="6" fontId="58" fillId="0" borderId="35" xfId="0" applyNumberFormat="1" applyFont="1" applyBorder="1" applyAlignment="1" applyProtection="1">
      <alignment vertical="center"/>
      <protection hidden="1"/>
    </xf>
    <xf numFmtId="6" fontId="0" fillId="18" borderId="0" xfId="0" applyNumberFormat="1" applyFill="1" applyAlignment="1" applyProtection="1">
      <alignment vertical="center"/>
      <protection hidden="1"/>
    </xf>
    <xf numFmtId="44" fontId="0" fillId="18" borderId="0" xfId="1" applyFont="1" applyFill="1" applyAlignment="1" applyProtection="1">
      <alignment vertical="center"/>
      <protection hidden="1"/>
    </xf>
    <xf numFmtId="6" fontId="0" fillId="2" borderId="0" xfId="0" applyNumberFormat="1" applyFill="1"/>
    <xf numFmtId="44" fontId="0" fillId="18" borderId="0" xfId="1" applyFont="1" applyFill="1"/>
    <xf numFmtId="44" fontId="0" fillId="2" borderId="0" xfId="1" applyFont="1" applyFill="1" applyAlignment="1">
      <alignment horizontal="right"/>
    </xf>
    <xf numFmtId="0" fontId="0" fillId="2" borderId="0" xfId="0" applyFill="1" applyAlignment="1">
      <alignment wrapText="1"/>
    </xf>
    <xf numFmtId="0" fontId="0" fillId="2" borderId="59" xfId="0" applyFill="1" applyBorder="1" applyProtection="1">
      <protection hidden="1"/>
    </xf>
    <xf numFmtId="0" fontId="0" fillId="2" borderId="40" xfId="0" applyFill="1" applyBorder="1" applyProtection="1">
      <protection hidden="1"/>
    </xf>
    <xf numFmtId="6" fontId="0" fillId="0" borderId="12" xfId="0" applyNumberFormat="1" applyBorder="1" applyAlignment="1" applyProtection="1">
      <alignment vertical="center"/>
      <protection hidden="1"/>
    </xf>
    <xf numFmtId="6" fontId="62" fillId="0" borderId="34" xfId="0" applyNumberFormat="1" applyFont="1" applyBorder="1" applyAlignment="1" applyProtection="1">
      <alignment vertical="center"/>
      <protection hidden="1"/>
    </xf>
    <xf numFmtId="44" fontId="0" fillId="0" borderId="58" xfId="1" applyFont="1" applyFill="1" applyBorder="1" applyAlignment="1" applyProtection="1">
      <alignment vertical="center"/>
      <protection hidden="1"/>
    </xf>
    <xf numFmtId="6" fontId="62" fillId="0" borderId="1" xfId="0" applyNumberFormat="1" applyFont="1" applyBorder="1" applyAlignment="1" applyProtection="1">
      <alignment horizontal="center" vertical="center"/>
      <protection locked="0"/>
    </xf>
    <xf numFmtId="0" fontId="58" fillId="0" borderId="41" xfId="0" applyFont="1" applyBorder="1" applyAlignment="1" applyProtection="1">
      <alignment horizontal="left" vertical="center"/>
      <protection hidden="1"/>
    </xf>
    <xf numFmtId="0" fontId="0" fillId="0" borderId="6" xfId="0" applyBorder="1" applyProtection="1">
      <protection locked="0"/>
    </xf>
    <xf numFmtId="6" fontId="0" fillId="0" borderId="0" xfId="0" applyNumberFormat="1" applyProtection="1">
      <protection locked="0"/>
    </xf>
    <xf numFmtId="0" fontId="0" fillId="2" borderId="0" xfId="0" applyFill="1" applyProtection="1">
      <protection locked="0"/>
    </xf>
    <xf numFmtId="165" fontId="0" fillId="0" borderId="0" xfId="0" applyNumberFormat="1"/>
    <xf numFmtId="6" fontId="62" fillId="2" borderId="3" xfId="0" applyNumberFormat="1" applyFont="1" applyFill="1" applyBorder="1" applyAlignment="1" applyProtection="1">
      <alignment horizontal="center" vertical="center"/>
      <protection locked="0"/>
    </xf>
    <xf numFmtId="6" fontId="62" fillId="2" borderId="1" xfId="0" applyNumberFormat="1" applyFont="1" applyFill="1" applyBorder="1" applyAlignment="1" applyProtection="1">
      <alignment vertical="center"/>
      <protection hidden="1"/>
    </xf>
    <xf numFmtId="6" fontId="62" fillId="2" borderId="14" xfId="0" applyNumberFormat="1" applyFont="1" applyFill="1" applyBorder="1" applyAlignment="1" applyProtection="1">
      <alignment vertical="center"/>
      <protection hidden="1"/>
    </xf>
    <xf numFmtId="0" fontId="83" fillId="7" borderId="1" xfId="3" applyFont="1" applyFill="1" applyAlignment="1">
      <alignment vertical="center"/>
    </xf>
    <xf numFmtId="44" fontId="0" fillId="0" borderId="0" xfId="1" applyFont="1" applyFill="1"/>
    <xf numFmtId="0" fontId="0" fillId="0" borderId="40" xfId="0" applyBorder="1" applyProtection="1">
      <protection hidden="1"/>
    </xf>
    <xf numFmtId="6" fontId="62" fillId="0" borderId="2" xfId="0" applyNumberFormat="1" applyFont="1" applyBorder="1" applyAlignment="1" applyProtection="1">
      <alignment vertical="center"/>
      <protection hidden="1"/>
    </xf>
    <xf numFmtId="165" fontId="0" fillId="0" borderId="0" xfId="1" applyNumberFormat="1" applyFont="1" applyFill="1"/>
    <xf numFmtId="6" fontId="78" fillId="0" borderId="17" xfId="0" applyNumberFormat="1" applyFont="1" applyBorder="1" applyAlignment="1" applyProtection="1">
      <alignment vertical="center"/>
      <protection hidden="1"/>
    </xf>
    <xf numFmtId="0" fontId="3" fillId="0" borderId="0" xfId="3" applyBorder="1" applyAlignment="1">
      <alignment horizontal="left"/>
    </xf>
    <xf numFmtId="0" fontId="5" fillId="0" borderId="0" xfId="0" applyFont="1" applyAlignment="1">
      <alignment horizontal="center" vertical="center"/>
    </xf>
    <xf numFmtId="0" fontId="6" fillId="0" borderId="20" xfId="0" applyFont="1" applyBorder="1" applyAlignment="1">
      <alignment horizontal="center" vertical="center"/>
    </xf>
    <xf numFmtId="14" fontId="8" fillId="0" borderId="0" xfId="0" applyNumberFormat="1" applyFont="1" applyAlignment="1">
      <alignment horizontal="right" vertical="center"/>
    </xf>
    <xf numFmtId="0" fontId="0" fillId="0" borderId="52" xfId="0" applyBorder="1" applyAlignment="1">
      <alignment horizontal="left"/>
    </xf>
    <xf numFmtId="0" fontId="0" fillId="0" borderId="53" xfId="0" applyBorder="1" applyAlignment="1">
      <alignment horizontal="left"/>
    </xf>
    <xf numFmtId="0" fontId="0" fillId="0" borderId="54" xfId="0" applyBorder="1" applyAlignment="1">
      <alignment horizontal="left"/>
    </xf>
    <xf numFmtId="0" fontId="0" fillId="0" borderId="14" xfId="0" applyBorder="1" applyAlignment="1">
      <alignment horizontal="left"/>
    </xf>
    <xf numFmtId="0" fontId="0" fillId="0" borderId="55" xfId="0" applyBorder="1" applyAlignment="1">
      <alignment horizontal="left"/>
    </xf>
    <xf numFmtId="0" fontId="0" fillId="0" borderId="56" xfId="0" applyBorder="1" applyAlignment="1">
      <alignment horizontal="left"/>
    </xf>
    <xf numFmtId="0" fontId="4" fillId="11" borderId="21" xfId="0" applyFont="1" applyFill="1" applyBorder="1" applyAlignment="1">
      <alignment horizontal="center" vertical="top"/>
    </xf>
    <xf numFmtId="0" fontId="4" fillId="11" borderId="57" xfId="0" applyFont="1" applyFill="1" applyBorder="1" applyAlignment="1">
      <alignment horizontal="center" vertical="top"/>
    </xf>
    <xf numFmtId="0" fontId="3" fillId="0" borderId="2" xfId="0" applyFont="1" applyBorder="1" applyAlignment="1">
      <alignment vertical="distributed"/>
    </xf>
    <xf numFmtId="0" fontId="0" fillId="0" borderId="3" xfId="0" applyBorder="1" applyAlignment="1">
      <alignment vertical="distributed"/>
    </xf>
    <xf numFmtId="6" fontId="4" fillId="0" borderId="29" xfId="0" applyNumberFormat="1" applyFont="1" applyBorder="1" applyAlignment="1">
      <alignment vertical="center"/>
    </xf>
    <xf numFmtId="6" fontId="4" fillId="0" borderId="44" xfId="0" applyNumberFormat="1" applyFont="1" applyBorder="1" applyAlignment="1">
      <alignment vertical="center"/>
    </xf>
    <xf numFmtId="6" fontId="33" fillId="0" borderId="2" xfId="0" applyNumberFormat="1" applyFont="1" applyBorder="1" applyAlignment="1">
      <alignment horizontal="center" vertical="center"/>
    </xf>
    <xf numFmtId="6" fontId="33" fillId="0" borderId="33" xfId="0" applyNumberFormat="1" applyFont="1" applyBorder="1" applyAlignment="1">
      <alignment horizontal="center" vertical="center"/>
    </xf>
    <xf numFmtId="6" fontId="33" fillId="0" borderId="34" xfId="0" applyNumberFormat="1" applyFont="1" applyBorder="1" applyAlignment="1">
      <alignment horizontal="center" vertical="center"/>
    </xf>
    <xf numFmtId="6" fontId="39" fillId="0" borderId="18" xfId="0" applyNumberFormat="1" applyFont="1" applyBorder="1"/>
    <xf numFmtId="6" fontId="0" fillId="0" borderId="20" xfId="0" applyNumberFormat="1" applyBorder="1"/>
    <xf numFmtId="0" fontId="3" fillId="0" borderId="2" xfId="0" applyFont="1" applyBorder="1" applyAlignment="1">
      <alignment horizontal="left" vertical="distributed"/>
    </xf>
    <xf numFmtId="0" fontId="0" fillId="0" borderId="3" xfId="0" applyBorder="1" applyAlignment="1">
      <alignment horizontal="left" vertical="distributed"/>
    </xf>
    <xf numFmtId="0" fontId="3" fillId="0" borderId="3" xfId="0" applyFont="1" applyBorder="1" applyAlignment="1">
      <alignment vertical="distributed"/>
    </xf>
    <xf numFmtId="6" fontId="26" fillId="0" borderId="13" xfId="0" applyNumberFormat="1" applyFont="1" applyBorder="1" applyAlignment="1">
      <alignment horizontal="left" vertical="center"/>
    </xf>
    <xf numFmtId="6" fontId="26" fillId="0" borderId="33" xfId="0" applyNumberFormat="1" applyFont="1" applyBorder="1" applyAlignment="1">
      <alignment horizontal="left" vertical="center"/>
    </xf>
    <xf numFmtId="6" fontId="26" fillId="0" borderId="34" xfId="0" applyNumberFormat="1" applyFont="1" applyBorder="1" applyAlignment="1">
      <alignment horizontal="left" vertical="center"/>
    </xf>
    <xf numFmtId="6" fontId="3" fillId="0" borderId="13" xfId="0" applyNumberFormat="1" applyFont="1" applyBorder="1" applyAlignment="1">
      <alignment horizontal="left" vertical="distributed"/>
    </xf>
    <xf numFmtId="6" fontId="3" fillId="0" borderId="3" xfId="0" applyNumberFormat="1" applyFont="1" applyBorder="1" applyAlignment="1">
      <alignment horizontal="left" vertical="distributed"/>
    </xf>
    <xf numFmtId="6" fontId="37" fillId="0" borderId="13" xfId="0" applyNumberFormat="1" applyFont="1" applyBorder="1" applyAlignment="1">
      <alignment horizontal="left" vertical="center"/>
    </xf>
    <xf numFmtId="6" fontId="37" fillId="0" borderId="33" xfId="0" applyNumberFormat="1" applyFont="1" applyBorder="1" applyAlignment="1">
      <alignment horizontal="left" vertical="center"/>
    </xf>
    <xf numFmtId="6" fontId="37" fillId="0" borderId="34" xfId="0" applyNumberFormat="1" applyFont="1" applyBorder="1" applyAlignment="1">
      <alignment horizontal="left" vertical="center"/>
    </xf>
    <xf numFmtId="6" fontId="4" fillId="0" borderId="13" xfId="0" applyNumberFormat="1" applyFont="1" applyBorder="1" applyAlignment="1">
      <alignment horizontal="left" vertical="center"/>
    </xf>
    <xf numFmtId="6" fontId="4" fillId="0" borderId="3" xfId="0" applyNumberFormat="1" applyFont="1" applyBorder="1" applyAlignment="1">
      <alignment horizontal="left" vertical="center"/>
    </xf>
    <xf numFmtId="6" fontId="3" fillId="0" borderId="35" xfId="0" applyNumberFormat="1" applyFont="1" applyBorder="1" applyAlignment="1">
      <alignment vertical="distributed"/>
    </xf>
    <xf numFmtId="6" fontId="0" fillId="0" borderId="37" xfId="0" applyNumberFormat="1" applyBorder="1" applyAlignment="1">
      <alignment vertical="distributed"/>
    </xf>
    <xf numFmtId="6" fontId="11" fillId="0" borderId="38" xfId="0" applyNumberFormat="1" applyFont="1" applyBorder="1" applyAlignment="1">
      <alignment horizontal="center" vertical="center"/>
    </xf>
    <xf numFmtId="6" fontId="11" fillId="0" borderId="4" xfId="0" applyNumberFormat="1" applyFont="1" applyBorder="1" applyAlignment="1">
      <alignment horizontal="center" vertical="center"/>
    </xf>
    <xf numFmtId="6" fontId="11" fillId="0" borderId="36" xfId="0" applyNumberFormat="1" applyFont="1" applyBorder="1" applyAlignment="1">
      <alignment horizontal="center" vertical="center"/>
    </xf>
    <xf numFmtId="6" fontId="33" fillId="0" borderId="0" xfId="0" applyNumberFormat="1" applyFont="1" applyAlignment="1">
      <alignment horizontal="left" vertical="center"/>
    </xf>
    <xf numFmtId="6" fontId="30" fillId="0" borderId="0" xfId="0" applyNumberFormat="1" applyFont="1" applyAlignment="1">
      <alignment horizontal="left" vertical="center"/>
    </xf>
    <xf numFmtId="6" fontId="4" fillId="0" borderId="42" xfId="0" applyNumberFormat="1" applyFont="1" applyBorder="1" applyAlignment="1">
      <alignment horizontal="left" vertical="center"/>
    </xf>
    <xf numFmtId="6" fontId="4" fillId="0" borderId="31" xfId="0" applyNumberFormat="1" applyFont="1" applyBorder="1" applyAlignment="1">
      <alignment horizontal="left" vertical="center"/>
    </xf>
    <xf numFmtId="6" fontId="4" fillId="0" borderId="32" xfId="0" applyNumberFormat="1" applyFont="1" applyBorder="1" applyAlignment="1">
      <alignment horizontal="left" vertical="center"/>
    </xf>
    <xf numFmtId="6" fontId="4" fillId="0" borderId="33" xfId="0" applyNumberFormat="1" applyFont="1" applyBorder="1" applyAlignment="1">
      <alignment horizontal="left" vertical="center"/>
    </xf>
    <xf numFmtId="6" fontId="4" fillId="0" borderId="34" xfId="0" applyNumberFormat="1" applyFont="1" applyBorder="1" applyAlignment="1">
      <alignment horizontal="left" vertical="center"/>
    </xf>
    <xf numFmtId="6" fontId="11" fillId="0" borderId="2" xfId="0" applyNumberFormat="1" applyFont="1" applyBorder="1" applyAlignment="1">
      <alignment horizontal="center" vertical="center"/>
    </xf>
    <xf numFmtId="6" fontId="11" fillId="0" borderId="33" xfId="0" applyNumberFormat="1" applyFont="1" applyBorder="1" applyAlignment="1">
      <alignment horizontal="center" vertical="center"/>
    </xf>
    <xf numFmtId="6" fontId="11" fillId="0" borderId="34" xfId="0" applyNumberFormat="1" applyFont="1" applyBorder="1" applyAlignment="1">
      <alignment horizontal="center" vertical="center"/>
    </xf>
    <xf numFmtId="6" fontId="3" fillId="0" borderId="13" xfId="0" applyNumberFormat="1" applyFont="1" applyBorder="1" applyAlignment="1">
      <alignment vertical="distributed"/>
    </xf>
    <xf numFmtId="6" fontId="0" fillId="0" borderId="3" xfId="0" applyNumberFormat="1" applyBorder="1" applyAlignment="1">
      <alignment vertical="distributed"/>
    </xf>
    <xf numFmtId="6" fontId="3" fillId="0" borderId="3" xfId="0" applyNumberFormat="1" applyFont="1" applyBorder="1" applyAlignment="1">
      <alignment vertical="distributed"/>
    </xf>
    <xf numFmtId="6" fontId="0" fillId="0" borderId="3" xfId="0" applyNumberFormat="1" applyBorder="1" applyAlignment="1">
      <alignment horizontal="left" vertical="distributed"/>
    </xf>
    <xf numFmtId="6" fontId="26" fillId="0" borderId="30" xfId="0" applyNumberFormat="1" applyFont="1" applyBorder="1" applyAlignment="1">
      <alignment horizontal="center" vertical="center"/>
    </xf>
    <xf numFmtId="6" fontId="26" fillId="0" borderId="31" xfId="0" applyNumberFormat="1" applyFont="1" applyBorder="1" applyAlignment="1">
      <alignment horizontal="center" vertical="center"/>
    </xf>
    <xf numFmtId="6" fontId="26" fillId="0" borderId="32" xfId="0" applyNumberFormat="1" applyFont="1" applyBorder="1" applyAlignment="1">
      <alignment horizontal="center" vertical="center"/>
    </xf>
    <xf numFmtId="6" fontId="4" fillId="0" borderId="4" xfId="0" applyNumberFormat="1" applyFont="1" applyBorder="1" applyAlignment="1">
      <alignment horizontal="left" vertical="center"/>
    </xf>
    <xf numFmtId="6" fontId="4" fillId="0" borderId="36" xfId="0" applyNumberFormat="1" applyFont="1" applyBorder="1" applyAlignment="1">
      <alignment horizontal="left" vertical="center"/>
    </xf>
    <xf numFmtId="0" fontId="0" fillId="0" borderId="15" xfId="0" applyBorder="1" applyAlignment="1">
      <alignment horizontal="left" wrapText="1"/>
    </xf>
    <xf numFmtId="0" fontId="0" fillId="0" borderId="16"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2" fillId="0" borderId="15" xfId="0" applyFont="1" applyBorder="1" applyAlignment="1">
      <alignment horizontal="center"/>
    </xf>
    <xf numFmtId="0" fontId="2" fillId="0" borderId="16" xfId="0" applyFont="1" applyBorder="1" applyAlignment="1">
      <alignment horizontal="center"/>
    </xf>
    <xf numFmtId="6" fontId="61" fillId="0" borderId="13" xfId="0" applyNumberFormat="1" applyFont="1" applyBorder="1" applyAlignment="1" applyProtection="1">
      <alignment horizontal="left" vertical="distributed"/>
      <protection locked="0"/>
    </xf>
    <xf numFmtId="6" fontId="61" fillId="0" borderId="3" xfId="0" applyNumberFormat="1" applyFont="1" applyBorder="1" applyAlignment="1" applyProtection="1">
      <alignment horizontal="left" vertical="distributed"/>
      <protection locked="0"/>
    </xf>
    <xf numFmtId="6" fontId="60" fillId="0" borderId="13" xfId="0" applyNumberFormat="1" applyFont="1" applyBorder="1" applyAlignment="1" applyProtection="1">
      <alignment horizontal="left" vertical="center"/>
      <protection hidden="1"/>
    </xf>
    <xf numFmtId="6" fontId="60" fillId="0" borderId="33" xfId="0" applyNumberFormat="1" applyFont="1" applyBorder="1" applyAlignment="1" applyProtection="1">
      <alignment horizontal="left" vertical="center"/>
      <protection hidden="1"/>
    </xf>
    <xf numFmtId="6" fontId="60" fillId="0" borderId="34" xfId="0" applyNumberFormat="1" applyFont="1" applyBorder="1" applyAlignment="1" applyProtection="1">
      <alignment horizontal="left" vertical="center"/>
      <protection hidden="1"/>
    </xf>
    <xf numFmtId="6" fontId="81" fillId="0" borderId="59" xfId="0" applyNumberFormat="1" applyFont="1" applyBorder="1" applyAlignment="1" applyProtection="1">
      <alignment horizontal="center" vertical="center"/>
      <protection hidden="1"/>
    </xf>
    <xf numFmtId="6" fontId="81" fillId="0" borderId="44" xfId="0" applyNumberFormat="1" applyFont="1" applyBorder="1" applyAlignment="1" applyProtection="1">
      <alignment horizontal="center" vertical="center"/>
      <protection hidden="1"/>
    </xf>
    <xf numFmtId="6" fontId="81" fillId="0" borderId="40" xfId="0" applyNumberFormat="1" applyFont="1" applyBorder="1" applyAlignment="1" applyProtection="1">
      <alignment horizontal="center" vertical="center"/>
      <protection hidden="1"/>
    </xf>
    <xf numFmtId="6" fontId="81" fillId="0" borderId="0" xfId="0" applyNumberFormat="1" applyFont="1" applyAlignment="1" applyProtection="1">
      <alignment horizontal="center" vertical="center"/>
      <protection hidden="1"/>
    </xf>
    <xf numFmtId="6" fontId="81" fillId="0" borderId="39" xfId="0" applyNumberFormat="1" applyFont="1" applyBorder="1" applyAlignment="1" applyProtection="1">
      <alignment horizontal="center" vertical="center"/>
      <protection hidden="1"/>
    </xf>
    <xf numFmtId="6" fontId="57" fillId="0" borderId="15" xfId="0" applyNumberFormat="1" applyFont="1" applyBorder="1" applyAlignment="1" applyProtection="1">
      <alignment horizontal="center" vertical="center"/>
      <protection hidden="1"/>
    </xf>
    <xf numFmtId="6" fontId="57" fillId="0" borderId="17" xfId="0" applyNumberFormat="1" applyFont="1" applyBorder="1" applyAlignment="1" applyProtection="1">
      <alignment horizontal="center" vertical="center"/>
      <protection hidden="1"/>
    </xf>
    <xf numFmtId="6" fontId="57" fillId="0" borderId="5" xfId="0" applyNumberFormat="1" applyFont="1" applyBorder="1" applyAlignment="1" applyProtection="1">
      <alignment horizontal="center" vertical="center"/>
      <protection hidden="1"/>
    </xf>
    <xf numFmtId="6" fontId="57" fillId="0" borderId="0" xfId="0" applyNumberFormat="1" applyFont="1" applyAlignment="1" applyProtection="1">
      <alignment horizontal="center" vertical="center"/>
      <protection hidden="1"/>
    </xf>
    <xf numFmtId="6" fontId="57" fillId="0" borderId="18" xfId="0" applyNumberFormat="1" applyFont="1" applyBorder="1" applyAlignment="1" applyProtection="1">
      <alignment horizontal="center" vertical="center"/>
      <protection hidden="1"/>
    </xf>
    <xf numFmtId="6" fontId="57" fillId="0" borderId="20" xfId="0" applyNumberFormat="1" applyFont="1" applyBorder="1" applyAlignment="1" applyProtection="1">
      <alignment horizontal="center" vertical="center"/>
      <protection hidden="1"/>
    </xf>
    <xf numFmtId="6" fontId="75" fillId="17" borderId="13" xfId="0" applyNumberFormat="1" applyFont="1" applyFill="1" applyBorder="1" applyAlignment="1" applyProtection="1">
      <alignment horizontal="center" vertical="center"/>
      <protection hidden="1"/>
    </xf>
    <xf numFmtId="6" fontId="75" fillId="17" borderId="33" xfId="0" applyNumberFormat="1" applyFont="1" applyFill="1" applyBorder="1" applyAlignment="1" applyProtection="1">
      <alignment horizontal="center" vertical="center"/>
      <protection hidden="1"/>
    </xf>
    <xf numFmtId="6" fontId="75" fillId="17" borderId="34" xfId="0" applyNumberFormat="1" applyFont="1" applyFill="1" applyBorder="1" applyAlignment="1" applyProtection="1">
      <alignment horizontal="center" vertical="center"/>
      <protection hidden="1"/>
    </xf>
    <xf numFmtId="6" fontId="60" fillId="17" borderId="13" xfId="0" applyNumberFormat="1" applyFont="1" applyFill="1" applyBorder="1" applyAlignment="1" applyProtection="1">
      <alignment horizontal="center" vertical="center"/>
      <protection hidden="1"/>
    </xf>
    <xf numFmtId="6" fontId="60" fillId="17" borderId="33" xfId="0" applyNumberFormat="1" applyFont="1" applyFill="1" applyBorder="1" applyAlignment="1" applyProtection="1">
      <alignment horizontal="center" vertical="center"/>
      <protection hidden="1"/>
    </xf>
    <xf numFmtId="6" fontId="60" fillId="17" borderId="34" xfId="0" applyNumberFormat="1" applyFont="1" applyFill="1" applyBorder="1" applyAlignment="1" applyProtection="1">
      <alignment horizontal="center" vertical="center"/>
      <protection hidden="1"/>
    </xf>
    <xf numFmtId="6" fontId="61" fillId="0" borderId="13" xfId="0" applyNumberFormat="1" applyFont="1" applyBorder="1" applyAlignment="1" applyProtection="1">
      <alignment horizontal="left" vertical="distributed"/>
      <protection hidden="1"/>
    </xf>
    <xf numFmtId="6" fontId="61" fillId="0" borderId="3" xfId="0" applyNumberFormat="1" applyFont="1" applyBorder="1" applyAlignment="1" applyProtection="1">
      <alignment horizontal="left" vertical="distributed"/>
      <protection hidden="1"/>
    </xf>
    <xf numFmtId="6" fontId="60" fillId="17" borderId="13" xfId="0" applyNumberFormat="1" applyFont="1" applyFill="1" applyBorder="1" applyAlignment="1" applyProtection="1">
      <alignment horizontal="left" vertical="center"/>
      <protection hidden="1"/>
    </xf>
    <xf numFmtId="6" fontId="60" fillId="17" borderId="33" xfId="0" applyNumberFormat="1" applyFont="1" applyFill="1" applyBorder="1" applyAlignment="1" applyProtection="1">
      <alignment horizontal="left" vertical="center"/>
      <protection hidden="1"/>
    </xf>
    <xf numFmtId="6" fontId="60" fillId="17" borderId="34" xfId="0" applyNumberFormat="1" applyFont="1" applyFill="1" applyBorder="1" applyAlignment="1" applyProtection="1">
      <alignment horizontal="left" vertical="center"/>
      <protection hidden="1"/>
    </xf>
    <xf numFmtId="6" fontId="61" fillId="2" borderId="13" xfId="0" applyNumberFormat="1" applyFont="1" applyFill="1" applyBorder="1" applyAlignment="1" applyProtection="1">
      <alignment horizontal="left" vertical="distributed"/>
      <protection hidden="1"/>
    </xf>
    <xf numFmtId="6" fontId="61" fillId="2" borderId="3" xfId="0" applyNumberFormat="1" applyFont="1" applyFill="1" applyBorder="1" applyAlignment="1" applyProtection="1">
      <alignment horizontal="left" vertical="distributed"/>
      <protection hidden="1"/>
    </xf>
    <xf numFmtId="6" fontId="61" fillId="0" borderId="13" xfId="0" applyNumberFormat="1" applyFont="1" applyBorder="1" applyAlignment="1" applyProtection="1">
      <alignment horizontal="left" vertical="center"/>
      <protection locked="0"/>
    </xf>
    <xf numFmtId="6" fontId="61" fillId="0" borderId="3" xfId="0" applyNumberFormat="1" applyFont="1" applyBorder="1" applyAlignment="1" applyProtection="1">
      <alignment horizontal="left" vertical="center"/>
      <protection locked="0"/>
    </xf>
    <xf numFmtId="6" fontId="58" fillId="0" borderId="29" xfId="0" applyNumberFormat="1" applyFont="1" applyBorder="1" applyAlignment="1" applyProtection="1">
      <alignment vertical="center"/>
      <protection hidden="1"/>
    </xf>
    <xf numFmtId="6" fontId="58" fillId="0" borderId="44" xfId="0" applyNumberFormat="1" applyFont="1" applyBorder="1" applyAlignment="1" applyProtection="1">
      <alignment vertical="center"/>
      <protection hidden="1"/>
    </xf>
    <xf numFmtId="6" fontId="54" fillId="0" borderId="2" xfId="0" applyNumberFormat="1" applyFont="1" applyBorder="1" applyAlignment="1" applyProtection="1">
      <alignment horizontal="center" vertical="center"/>
      <protection hidden="1"/>
    </xf>
    <xf numFmtId="6" fontId="54" fillId="0" borderId="33" xfId="0" applyNumberFormat="1" applyFont="1" applyBorder="1" applyAlignment="1" applyProtection="1">
      <alignment horizontal="center" vertical="center"/>
      <protection hidden="1"/>
    </xf>
    <xf numFmtId="6" fontId="54" fillId="0" borderId="34" xfId="0" applyNumberFormat="1" applyFont="1" applyBorder="1" applyAlignment="1" applyProtection="1">
      <alignment horizontal="center" vertical="center"/>
      <protection hidden="1"/>
    </xf>
    <xf numFmtId="6" fontId="61" fillId="0" borderId="33" xfId="0" applyNumberFormat="1" applyFont="1" applyBorder="1" applyAlignment="1" applyProtection="1">
      <alignment horizontal="left" vertical="distributed"/>
      <protection hidden="1"/>
    </xf>
    <xf numFmtId="6" fontId="61" fillId="0" borderId="35" xfId="0" applyNumberFormat="1" applyFont="1" applyBorder="1" applyAlignment="1" applyProtection="1">
      <alignment vertical="distributed"/>
      <protection hidden="1"/>
    </xf>
    <xf numFmtId="6" fontId="61" fillId="0" borderId="37" xfId="0" applyNumberFormat="1" applyFont="1" applyBorder="1" applyAlignment="1" applyProtection="1">
      <alignment vertical="distributed"/>
      <protection hidden="1"/>
    </xf>
    <xf numFmtId="6" fontId="62" fillId="0" borderId="38" xfId="0" applyNumberFormat="1" applyFont="1" applyBorder="1" applyAlignment="1" applyProtection="1">
      <alignment horizontal="center" vertical="center"/>
      <protection hidden="1"/>
    </xf>
    <xf numFmtId="6" fontId="62" fillId="0" borderId="4" xfId="0" applyNumberFormat="1" applyFont="1" applyBorder="1" applyAlignment="1" applyProtection="1">
      <alignment horizontal="center" vertical="center"/>
      <protection hidden="1"/>
    </xf>
    <xf numFmtId="6" fontId="62" fillId="0" borderId="36" xfId="0" applyNumberFormat="1" applyFont="1" applyBorder="1" applyAlignment="1" applyProtection="1">
      <alignment horizontal="center" vertical="center"/>
      <protection hidden="1"/>
    </xf>
    <xf numFmtId="6" fontId="54" fillId="18" borderId="24" xfId="0" applyNumberFormat="1" applyFont="1" applyFill="1" applyBorder="1" applyAlignment="1" applyProtection="1">
      <alignment horizontal="left" vertical="center"/>
      <protection hidden="1"/>
    </xf>
    <xf numFmtId="6" fontId="58" fillId="0" borderId="42" xfId="0" applyNumberFormat="1" applyFont="1" applyBorder="1" applyAlignment="1" applyProtection="1">
      <alignment horizontal="left" vertical="center"/>
      <protection locked="0"/>
    </xf>
    <xf numFmtId="6" fontId="58" fillId="0" borderId="31" xfId="0" applyNumberFormat="1" applyFont="1" applyBorder="1" applyAlignment="1" applyProtection="1">
      <alignment horizontal="left" vertical="center"/>
      <protection locked="0"/>
    </xf>
    <xf numFmtId="6" fontId="58" fillId="0" borderId="32" xfId="0" applyNumberFormat="1" applyFont="1" applyBorder="1" applyAlignment="1" applyProtection="1">
      <alignment horizontal="left" vertical="center"/>
      <protection locked="0"/>
    </xf>
    <xf numFmtId="0" fontId="58" fillId="0" borderId="33" xfId="0" applyFont="1" applyBorder="1" applyAlignment="1" applyProtection="1">
      <alignment horizontal="left" vertical="center"/>
      <protection hidden="1"/>
    </xf>
    <xf numFmtId="0" fontId="58" fillId="0" borderId="34" xfId="0" applyFont="1" applyBorder="1" applyAlignment="1" applyProtection="1">
      <alignment horizontal="left" vertical="center"/>
      <protection hidden="1"/>
    </xf>
    <xf numFmtId="6" fontId="62" fillId="17" borderId="2" xfId="0" applyNumberFormat="1" applyFont="1" applyFill="1" applyBorder="1" applyAlignment="1" applyProtection="1">
      <alignment horizontal="center" vertical="center"/>
      <protection hidden="1"/>
    </xf>
    <xf numFmtId="6" fontId="62" fillId="17" borderId="33" xfId="0" applyNumberFormat="1" applyFont="1" applyFill="1" applyBorder="1" applyAlignment="1" applyProtection="1">
      <alignment horizontal="center" vertical="center"/>
      <protection hidden="1"/>
    </xf>
    <xf numFmtId="6" fontId="62" fillId="17" borderId="34" xfId="0" applyNumberFormat="1" applyFont="1" applyFill="1" applyBorder="1" applyAlignment="1" applyProtection="1">
      <alignment horizontal="center" vertical="center"/>
      <protection hidden="1"/>
    </xf>
    <xf numFmtId="6" fontId="61" fillId="0" borderId="13" xfId="0" applyNumberFormat="1" applyFont="1" applyBorder="1" applyAlignment="1" applyProtection="1">
      <alignment vertical="distributed"/>
      <protection hidden="1"/>
    </xf>
    <xf numFmtId="6" fontId="61" fillId="0" borderId="3" xfId="0" applyNumberFormat="1" applyFont="1" applyBorder="1" applyAlignment="1" applyProtection="1">
      <alignment vertical="distributed"/>
      <protection hidden="1"/>
    </xf>
    <xf numFmtId="6" fontId="62" fillId="0" borderId="2" xfId="0" applyNumberFormat="1" applyFont="1" applyBorder="1" applyAlignment="1" applyProtection="1">
      <alignment horizontal="center" vertical="center"/>
      <protection hidden="1"/>
    </xf>
    <xf numFmtId="6" fontId="62" fillId="0" borderId="33" xfId="0" applyNumberFormat="1" applyFont="1" applyBorder="1" applyAlignment="1" applyProtection="1">
      <alignment horizontal="center" vertical="center"/>
      <protection hidden="1"/>
    </xf>
    <xf numFmtId="6" fontId="62" fillId="0" borderId="34" xfId="0" applyNumberFormat="1" applyFont="1" applyBorder="1" applyAlignment="1" applyProtection="1">
      <alignment horizontal="center" vertical="center"/>
      <protection hidden="1"/>
    </xf>
    <xf numFmtId="6" fontId="78" fillId="0" borderId="5" xfId="0" applyNumberFormat="1" applyFont="1" applyBorder="1" applyAlignment="1" applyProtection="1">
      <alignment horizontal="center" vertical="center"/>
      <protection hidden="1"/>
    </xf>
    <xf numFmtId="6" fontId="78" fillId="0" borderId="0" xfId="0" applyNumberFormat="1" applyFont="1" applyAlignment="1" applyProtection="1">
      <alignment horizontal="center" vertical="center"/>
      <protection hidden="1"/>
    </xf>
    <xf numFmtId="6" fontId="78" fillId="0" borderId="18" xfId="0" applyNumberFormat="1" applyFont="1" applyBorder="1" applyAlignment="1" applyProtection="1">
      <alignment horizontal="center" vertical="center"/>
      <protection hidden="1"/>
    </xf>
    <xf numFmtId="6" fontId="78" fillId="0" borderId="20" xfId="0" applyNumberFormat="1" applyFont="1" applyBorder="1" applyAlignment="1" applyProtection="1">
      <alignment horizontal="center" vertical="center"/>
      <protection hidden="1"/>
    </xf>
    <xf numFmtId="6" fontId="58" fillId="0" borderId="13" xfId="0" applyNumberFormat="1" applyFont="1" applyBorder="1" applyAlignment="1" applyProtection="1">
      <alignment horizontal="left" vertical="center"/>
      <protection locked="0"/>
    </xf>
    <xf numFmtId="6" fontId="58" fillId="0" borderId="33" xfId="0" applyNumberFormat="1" applyFont="1" applyBorder="1" applyAlignment="1" applyProtection="1">
      <alignment horizontal="left" vertical="center"/>
      <protection locked="0"/>
    </xf>
    <xf numFmtId="6" fontId="58" fillId="0" borderId="34" xfId="0" applyNumberFormat="1" applyFont="1" applyBorder="1" applyAlignment="1" applyProtection="1">
      <alignment horizontal="left" vertical="center"/>
      <protection locked="0"/>
    </xf>
    <xf numFmtId="6" fontId="58" fillId="0" borderId="4" xfId="0" applyNumberFormat="1" applyFont="1" applyBorder="1" applyAlignment="1" applyProtection="1">
      <alignment horizontal="left" vertical="center"/>
      <protection locked="0"/>
    </xf>
    <xf numFmtId="6" fontId="58" fillId="0" borderId="36" xfId="0" applyNumberFormat="1" applyFont="1" applyBorder="1" applyAlignment="1" applyProtection="1">
      <alignment horizontal="left" vertical="center"/>
      <protection locked="0"/>
    </xf>
    <xf numFmtId="6" fontId="80" fillId="17" borderId="30" xfId="0" applyNumberFormat="1" applyFont="1" applyFill="1" applyBorder="1" applyAlignment="1" applyProtection="1">
      <alignment horizontal="center" vertical="center"/>
      <protection hidden="1"/>
    </xf>
    <xf numFmtId="6" fontId="80" fillId="17" borderId="31" xfId="0" applyNumberFormat="1" applyFont="1" applyFill="1" applyBorder="1" applyAlignment="1" applyProtection="1">
      <alignment horizontal="center" vertical="center"/>
      <protection hidden="1"/>
    </xf>
    <xf numFmtId="6" fontId="80" fillId="17" borderId="32" xfId="0" applyNumberFormat="1" applyFont="1" applyFill="1" applyBorder="1" applyAlignment="1" applyProtection="1">
      <alignment horizontal="center" vertical="center"/>
      <protection hidden="1"/>
    </xf>
    <xf numFmtId="6" fontId="67" fillId="0" borderId="18" xfId="0" applyNumberFormat="1" applyFont="1" applyBorder="1" applyProtection="1">
      <protection hidden="1"/>
    </xf>
    <xf numFmtId="6" fontId="67" fillId="0" borderId="20" xfId="0" applyNumberFormat="1" applyFont="1" applyBorder="1" applyProtection="1">
      <protection hidden="1"/>
    </xf>
    <xf numFmtId="6" fontId="11" fillId="0" borderId="2" xfId="0" applyNumberFormat="1" applyFont="1" applyBorder="1" applyAlignment="1" applyProtection="1">
      <alignment horizontal="center" vertical="center"/>
      <protection locked="0"/>
    </xf>
    <xf numFmtId="6" fontId="11" fillId="0" borderId="33" xfId="0" applyNumberFormat="1" applyFont="1" applyBorder="1" applyAlignment="1" applyProtection="1">
      <alignment horizontal="center" vertical="center"/>
      <protection locked="0"/>
    </xf>
    <xf numFmtId="6" fontId="11" fillId="0" borderId="34" xfId="0" applyNumberFormat="1" applyFont="1" applyBorder="1" applyAlignment="1" applyProtection="1">
      <alignment horizontal="center" vertical="center"/>
      <protection locked="0"/>
    </xf>
    <xf numFmtId="6" fontId="3" fillId="0" borderId="13" xfId="0" applyNumberFormat="1" applyFont="1" applyBorder="1" applyAlignment="1" applyProtection="1">
      <alignment horizontal="left" vertical="distributed"/>
      <protection locked="0"/>
    </xf>
    <xf numFmtId="6" fontId="3" fillId="0" borderId="3" xfId="0" applyNumberFormat="1" applyFont="1" applyBorder="1" applyAlignment="1" applyProtection="1">
      <alignment horizontal="left" vertical="distributed"/>
      <protection locked="0"/>
    </xf>
    <xf numFmtId="6" fontId="4" fillId="0" borderId="31" xfId="0" applyNumberFormat="1" applyFont="1" applyBorder="1" applyAlignment="1" applyProtection="1">
      <alignment horizontal="left" vertical="center"/>
      <protection locked="0"/>
    </xf>
    <xf numFmtId="6" fontId="4" fillId="0" borderId="32" xfId="0" applyNumberFormat="1" applyFont="1" applyBorder="1" applyAlignment="1" applyProtection="1">
      <alignment horizontal="left" vertical="center"/>
      <protection locked="0"/>
    </xf>
    <xf numFmtId="6" fontId="26" fillId="0" borderId="30" xfId="0" applyNumberFormat="1" applyFont="1" applyBorder="1" applyAlignment="1" applyProtection="1">
      <alignment horizontal="center" vertical="center"/>
      <protection locked="0"/>
    </xf>
    <xf numFmtId="6" fontId="26" fillId="0" borderId="31" xfId="0" applyNumberFormat="1" applyFont="1" applyBorder="1" applyAlignment="1" applyProtection="1">
      <alignment horizontal="center" vertical="center"/>
      <protection locked="0"/>
    </xf>
    <xf numFmtId="6" fontId="26" fillId="0" borderId="32" xfId="0" applyNumberFormat="1" applyFont="1" applyBorder="1" applyAlignment="1" applyProtection="1">
      <alignment horizontal="center" vertical="center"/>
      <protection locked="0"/>
    </xf>
    <xf numFmtId="6" fontId="3" fillId="0" borderId="13" xfId="0" applyNumberFormat="1" applyFont="1" applyBorder="1" applyAlignment="1" applyProtection="1">
      <alignment vertical="distributed"/>
      <protection locked="0"/>
    </xf>
    <xf numFmtId="6" fontId="3" fillId="0" borderId="3" xfId="0" applyNumberFormat="1" applyFont="1" applyBorder="1" applyAlignment="1" applyProtection="1">
      <alignment vertical="distributed"/>
      <protection locked="0"/>
    </xf>
    <xf numFmtId="6" fontId="3" fillId="0" borderId="35" xfId="0" applyNumberFormat="1" applyFont="1" applyBorder="1" applyAlignment="1" applyProtection="1">
      <alignment vertical="distributed"/>
      <protection locked="0"/>
    </xf>
    <xf numFmtId="6" fontId="11" fillId="0" borderId="38" xfId="0" applyNumberFormat="1" applyFont="1" applyBorder="1" applyAlignment="1" applyProtection="1">
      <alignment horizontal="center" vertical="center"/>
      <protection locked="0"/>
    </xf>
    <xf numFmtId="6" fontId="11" fillId="0" borderId="4" xfId="0" applyNumberFormat="1" applyFont="1" applyBorder="1" applyAlignment="1" applyProtection="1">
      <alignment horizontal="center" vertical="center"/>
      <protection locked="0"/>
    </xf>
    <xf numFmtId="6" fontId="11" fillId="0" borderId="36" xfId="0" applyNumberFormat="1" applyFont="1" applyBorder="1" applyAlignment="1" applyProtection="1">
      <alignment horizontal="center" vertical="center"/>
      <protection locked="0"/>
    </xf>
    <xf numFmtId="6" fontId="26" fillId="0" borderId="13" xfId="0" applyNumberFormat="1" applyFont="1" applyBorder="1" applyAlignment="1" applyProtection="1">
      <alignment horizontal="left" vertical="center"/>
      <protection locked="0"/>
    </xf>
    <xf numFmtId="6" fontId="26" fillId="0" borderId="33" xfId="0" applyNumberFormat="1" applyFont="1" applyBorder="1" applyAlignment="1" applyProtection="1">
      <alignment horizontal="left" vertical="center"/>
      <protection locked="0"/>
    </xf>
    <xf numFmtId="6" fontId="26" fillId="0" borderId="34" xfId="0" applyNumberFormat="1" applyFont="1" applyBorder="1" applyAlignment="1" applyProtection="1">
      <alignment horizontal="left" vertical="center"/>
      <protection locked="0"/>
    </xf>
    <xf numFmtId="6" fontId="37" fillId="0" borderId="13" xfId="0" applyNumberFormat="1" applyFont="1" applyBorder="1" applyAlignment="1" applyProtection="1">
      <alignment horizontal="left" vertical="center"/>
      <protection locked="0"/>
    </xf>
    <xf numFmtId="6" fontId="37" fillId="0" borderId="33" xfId="0" applyNumberFormat="1" applyFont="1" applyBorder="1" applyAlignment="1" applyProtection="1">
      <alignment horizontal="left" vertical="center"/>
      <protection locked="0"/>
    </xf>
    <xf numFmtId="6" fontId="37" fillId="0" borderId="34" xfId="0" applyNumberFormat="1" applyFont="1" applyBorder="1" applyAlignment="1" applyProtection="1">
      <alignment horizontal="left" vertical="center"/>
      <protection locked="0"/>
    </xf>
  </cellXfs>
  <cellStyles count="9">
    <cellStyle name="Currency" xfId="1" builtinId="4"/>
    <cellStyle name="Currency 2" xfId="4" xr:uid="{29F208EE-8BEB-4FCA-8317-713BE17E9C4B}"/>
    <cellStyle name="Currency 3" xfId="8" xr:uid="{B9B61840-4FBE-4134-B8DE-AD9EF8248F11}"/>
    <cellStyle name="Currency 4" xfId="6" xr:uid="{C3083B8D-58A4-4527-BAEF-C738D1B7EDAF}"/>
    <cellStyle name="Hyperlink" xfId="7" builtinId="8"/>
    <cellStyle name="Normal" xfId="0" builtinId="0"/>
    <cellStyle name="Normal 2" xfId="3" xr:uid="{4A5F30F9-C80A-4A46-8A8B-AEFD42693DCB}"/>
    <cellStyle name="Normal 3" xfId="5" xr:uid="{ED0874C7-A6E4-4151-A7B5-F2E2D0010270}"/>
    <cellStyle name="Percent" xfId="2" builtinId="5"/>
  </cellStyles>
  <dxfs count="0"/>
  <tableStyles count="0" defaultTableStyle="TableStyleMedium2" defaultPivotStyle="PivotStyleLight16"/>
  <colors>
    <mruColors>
      <color rgb="FFFFFF99"/>
      <color rgb="FF99CCFF"/>
      <color rgb="FFCCECFF"/>
      <color rgb="FFFFFFCC"/>
      <color rgb="FFAD4B43"/>
      <color rgb="FFDBD9D8"/>
      <color rgb="FFAEA299"/>
      <color rgb="FFF86036"/>
      <color rgb="FFFF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50-EC42-11CE-9E0D-00AA006002F3}" ax:persistence="persistStreamInit" r:id="rId1"/>
</file>

<file path=xl/activeX/activeX3.xml><?xml version="1.0" encoding="utf-8"?>
<ax:ocx xmlns:ax="http://schemas.microsoft.com/office/2006/activeX" xmlns:r="http://schemas.openxmlformats.org/officeDocument/2006/relationships" ax:classid="{8BD21D50-EC42-11CE-9E0D-00AA006002F3}" ax:persistence="persistStreamInit" r:id="rId1"/>
</file>

<file path=xl/activeX/activeX4.xml><?xml version="1.0" encoding="utf-8"?>
<ax:ocx xmlns:ax="http://schemas.microsoft.com/office/2006/activeX" xmlns:r="http://schemas.openxmlformats.org/officeDocument/2006/relationships" ax:classid="{8BD21D30-EC42-11CE-9E0D-00AA006002F3}" ax:persistence="persistStreamInit" r:id="rId1"/>
</file>

<file path=xl/activeX/activeX5.xml><?xml version="1.0" encoding="utf-8"?>
<ax:ocx xmlns:ax="http://schemas.microsoft.com/office/2006/activeX" xmlns:r="http://schemas.openxmlformats.org/officeDocument/2006/relationships" ax:classid="{8BD21D30-EC42-11CE-9E0D-00AA006002F3}" ax:persistence="persistStreamInit" r:id="rId1"/>
</file>

<file path=xl/activeX/activeX6.xml><?xml version="1.0" encoding="utf-8"?>
<ax:ocx xmlns:ax="http://schemas.microsoft.com/office/2006/activeX" xmlns:r="http://schemas.openxmlformats.org/officeDocument/2006/relationships" ax:classid="{8BD21D30-EC42-11CE-9E0D-00AA006002F3}" ax:persistence="persistStreamInit" r:id="rId1"/>
</file>

<file path=xl/activeX/activeX7.xml><?xml version="1.0" encoding="utf-8"?>
<ax:ocx xmlns:ax="http://schemas.microsoft.com/office/2006/activeX" xmlns:r="http://schemas.openxmlformats.org/officeDocument/2006/relationships" ax:classid="{8BD21D30-EC42-11CE-9E0D-00AA006002F3}" ax:persistence="persistStreamInit" r:id="rId1"/>
</file>

<file path=xl/activeX/activeX8.xml><?xml version="1.0" encoding="utf-8"?>
<ax:ocx xmlns:ax="http://schemas.microsoft.com/office/2006/activeX" xmlns:r="http://schemas.openxmlformats.org/officeDocument/2006/relationships" ax:classid="{8BD21D50-EC42-11CE-9E0D-00AA006002F3}" ax:persistence="persistStreamInit" r:id="rId1"/>
</file>

<file path=xl/activeX/activeX9.xml><?xml version="1.0" encoding="utf-8"?>
<ax:ocx xmlns:ax="http://schemas.microsoft.com/office/2006/activeX" xmlns:r="http://schemas.openxmlformats.org/officeDocument/2006/relationships" ax:classid="{8BD21D50-EC42-11CE-9E0D-00AA006002F3}" ax:persistence="persistStreamInit" r:id="rId1"/>
</file>

<file path=xl/activeX/activeX10.xml><?xml version="1.0" encoding="utf-8"?>
<ax:ocx xmlns:ax="http://schemas.microsoft.com/office/2006/activeX" xmlns:r="http://schemas.openxmlformats.org/officeDocument/2006/relationships" ax:classid="{8BD21D30-EC42-11CE-9E0D-00AA006002F3}" ax:persistence="persistStreamInit" r:id="rId1"/>
</file>

<file path=xl/drawings/_rels/drawing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9.emf"/><Relationship Id="rId1" Type="http://schemas.openxmlformats.org/officeDocument/2006/relationships/image" Target="../media/image20.emf"/><Relationship Id="rId5" Type="http://schemas.openxmlformats.org/officeDocument/2006/relationships/image" Target="../media/image16.emf"/><Relationship Id="rId4"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2</xdr:col>
      <xdr:colOff>205740</xdr:colOff>
      <xdr:row>334</xdr:row>
      <xdr:rowOff>15240</xdr:rowOff>
    </xdr:from>
    <xdr:to>
      <xdr:col>3</xdr:col>
      <xdr:colOff>548640</xdr:colOff>
      <xdr:row>342</xdr:row>
      <xdr:rowOff>38100</xdr:rowOff>
    </xdr:to>
    <xdr:pic>
      <xdr:nvPicPr>
        <xdr:cNvPr id="2" name="Picture 5">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3515" y="73081515"/>
          <a:ext cx="3724275" cy="1851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3429000</xdr:colOff>
      <xdr:row>44</xdr:row>
      <xdr:rowOff>15241</xdr:rowOff>
    </xdr:from>
    <xdr:to>
      <xdr:col>5</xdr:col>
      <xdr:colOff>594360</xdr:colOff>
      <xdr:row>46</xdr:row>
      <xdr:rowOff>266701</xdr:rowOff>
    </xdr:to>
    <xdr:pic>
      <xdr:nvPicPr>
        <xdr:cNvPr id="3" name="Picture 6">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29150" y="10111741"/>
          <a:ext cx="1870710" cy="765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3088005</xdr:colOff>
      <xdr:row>1</xdr:row>
      <xdr:rowOff>41910</xdr:rowOff>
    </xdr:from>
    <xdr:to>
      <xdr:col>5</xdr:col>
      <xdr:colOff>512445</xdr:colOff>
      <xdr:row>3</xdr:row>
      <xdr:rowOff>361950</xdr:rowOff>
    </xdr:to>
    <xdr:pic>
      <xdr:nvPicPr>
        <xdr:cNvPr id="4" name="Picture 7">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780" y="270510"/>
          <a:ext cx="2082165"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185</xdr:row>
      <xdr:rowOff>28575</xdr:rowOff>
    </xdr:from>
    <xdr:to>
      <xdr:col>3</xdr:col>
      <xdr:colOff>0</xdr:colOff>
      <xdr:row>186</xdr:row>
      <xdr:rowOff>57150</xdr:rowOff>
    </xdr:to>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6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177</xdr:row>
      <xdr:rowOff>76200</xdr:rowOff>
    </xdr:from>
    <xdr:to>
      <xdr:col>7</xdr:col>
      <xdr:colOff>3457575</xdr:colOff>
      <xdr:row>178</xdr:row>
      <xdr:rowOff>57150</xdr:rowOff>
    </xdr:to>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6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173</xdr:row>
      <xdr:rowOff>28575</xdr:rowOff>
    </xdr:from>
    <xdr:to>
      <xdr:col>7</xdr:col>
      <xdr:colOff>3276600</xdr:colOff>
      <xdr:row>173</xdr:row>
      <xdr:rowOff>266700</xdr:rowOff>
    </xdr:to>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6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173</xdr:row>
      <xdr:rowOff>9525</xdr:rowOff>
    </xdr:from>
    <xdr:to>
      <xdr:col>7</xdr:col>
      <xdr:colOff>2038350</xdr:colOff>
      <xdr:row>173</xdr:row>
      <xdr:rowOff>257175</xdr:rowOff>
    </xdr:to>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6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3451860</xdr:colOff>
      <xdr:row>178</xdr:row>
      <xdr:rowOff>83820</xdr:rowOff>
    </xdr:from>
    <xdr:to>
      <xdr:col>6</xdr:col>
      <xdr:colOff>15240</xdr:colOff>
      <xdr:row>181</xdr:row>
      <xdr:rowOff>198120</xdr:rowOff>
    </xdr:to>
    <xdr:pic>
      <xdr:nvPicPr>
        <xdr:cNvPr id="9" name="Picture 6">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2960" y="42927270"/>
          <a:ext cx="192595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7620</xdr:colOff>
          <xdr:row>185</xdr:row>
          <xdr:rowOff>22860</xdr:rowOff>
        </xdr:from>
        <xdr:to>
          <xdr:col>3</xdr:col>
          <xdr:colOff>0</xdr:colOff>
          <xdr:row>185</xdr:row>
          <xdr:rowOff>259080</xdr:rowOff>
        </xdr:to>
        <xdr:sp macro="" textlink="">
          <xdr:nvSpPr>
            <xdr:cNvPr id="5121" name="ComboBox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342900</xdr:colOff>
          <xdr:row>173</xdr:row>
          <xdr:rowOff>22860</xdr:rowOff>
        </xdr:from>
        <xdr:to>
          <xdr:col>7</xdr:col>
          <xdr:colOff>1333500</xdr:colOff>
          <xdr:row>174</xdr:row>
          <xdr:rowOff>0</xdr:rowOff>
        </xdr:to>
        <xdr:sp macro="" textlink="">
          <xdr:nvSpPr>
            <xdr:cNvPr id="5122" name="optShepparton" hidden="1">
              <a:extLst>
                <a:ext uri="{63B3BB69-23CF-44E3-9099-C40C66FF867C}">
                  <a14:compatExt spid="_x0000_s5122"/>
                </a:ext>
                <a:ext uri="{FF2B5EF4-FFF2-40B4-BE49-F238E27FC236}">
                  <a16:creationId xmlns:a16="http://schemas.microsoft.com/office/drawing/2014/main" id="{00000000-0008-0000-06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2247900</xdr:colOff>
          <xdr:row>173</xdr:row>
          <xdr:rowOff>22860</xdr:rowOff>
        </xdr:from>
        <xdr:to>
          <xdr:col>7</xdr:col>
          <xdr:colOff>3238500</xdr:colOff>
          <xdr:row>174</xdr:row>
          <xdr:rowOff>0</xdr:rowOff>
        </xdr:to>
        <xdr:sp macro="" textlink="">
          <xdr:nvSpPr>
            <xdr:cNvPr id="5123" name="optECHUCA" hidden="1">
              <a:extLst>
                <a:ext uri="{63B3BB69-23CF-44E3-9099-C40C66FF867C}">
                  <a14:compatExt spid="_x0000_s5123"/>
                </a:ext>
                <a:ext uri="{FF2B5EF4-FFF2-40B4-BE49-F238E27FC236}">
                  <a16:creationId xmlns:a16="http://schemas.microsoft.com/office/drawing/2014/main" id="{00000000-0008-0000-06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171</xdr:row>
          <xdr:rowOff>38100</xdr:rowOff>
        </xdr:from>
        <xdr:to>
          <xdr:col>7</xdr:col>
          <xdr:colOff>1889760</xdr:colOff>
          <xdr:row>171</xdr:row>
          <xdr:rowOff>274320</xdr:rowOff>
        </xdr:to>
        <xdr:sp macro="" textlink="">
          <xdr:nvSpPr>
            <xdr:cNvPr id="5124" name="cmbTimePeriod" hidden="1">
              <a:extLst>
                <a:ext uri="{63B3BB69-23CF-44E3-9099-C40C66FF867C}">
                  <a14:compatExt spid="_x0000_s5124"/>
                </a:ext>
                <a:ext uri="{FF2B5EF4-FFF2-40B4-BE49-F238E27FC236}">
                  <a16:creationId xmlns:a16="http://schemas.microsoft.com/office/drawing/2014/main" id="{00000000-0008-0000-06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xdr:colOff>
          <xdr:row>177</xdr:row>
          <xdr:rowOff>22860</xdr:rowOff>
        </xdr:from>
        <xdr:to>
          <xdr:col>7</xdr:col>
          <xdr:colOff>1790700</xdr:colOff>
          <xdr:row>177</xdr:row>
          <xdr:rowOff>289560</xdr:rowOff>
        </xdr:to>
        <xdr:sp macro="" textlink="">
          <xdr:nvSpPr>
            <xdr:cNvPr id="5125" name="cmdArea" hidden="1">
              <a:extLst>
                <a:ext uri="{63B3BB69-23CF-44E3-9099-C40C66FF867C}">
                  <a14:compatExt spid="_x0000_s5125"/>
                </a:ext>
                <a:ext uri="{FF2B5EF4-FFF2-40B4-BE49-F238E27FC236}">
                  <a16:creationId xmlns:a16="http://schemas.microsoft.com/office/drawing/2014/main" id="{00000000-0008-0000-06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7</xdr:col>
      <xdr:colOff>3139440</xdr:colOff>
      <xdr:row>169</xdr:row>
      <xdr:rowOff>7620</xdr:rowOff>
    </xdr:from>
    <xdr:to>
      <xdr:col>7</xdr:col>
      <xdr:colOff>3429000</xdr:colOff>
      <xdr:row>169</xdr:row>
      <xdr:rowOff>297180</xdr:rowOff>
    </xdr:to>
    <xdr:pic>
      <xdr:nvPicPr>
        <xdr:cNvPr id="15" name="Picture 14" descr="539,782 Lock Stock Photos, Pictures &amp; Royalty-Free Images - iStock">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292715" y="40345995"/>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3421380</xdr:colOff>
      <xdr:row>168</xdr:row>
      <xdr:rowOff>304800</xdr:rowOff>
    </xdr:from>
    <xdr:to>
      <xdr:col>7</xdr:col>
      <xdr:colOff>3749040</xdr:colOff>
      <xdr:row>169</xdr:row>
      <xdr:rowOff>304800</xdr:rowOff>
    </xdr:to>
    <xdr:pic>
      <xdr:nvPicPr>
        <xdr:cNvPr id="16" name="Picture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74655" y="40309800"/>
          <a:ext cx="32766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3124200</xdr:colOff>
      <xdr:row>0</xdr:row>
      <xdr:rowOff>47625</xdr:rowOff>
    </xdr:from>
    <xdr:to>
      <xdr:col>0</xdr:col>
      <xdr:colOff>4484370</xdr:colOff>
      <xdr:row>3</xdr:row>
      <xdr:rowOff>8255</xdr:rowOff>
    </xdr:to>
    <xdr:pic>
      <xdr:nvPicPr>
        <xdr:cNvPr id="2" name="image2.jpe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3" name="image2.jpe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4" name="image2.jpe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5" name="image2.jpeg">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6" name="image2.jpeg">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7" name="image2.jpeg">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8" name="image2.jpeg">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9" name="image2.jpeg">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10" name="image2.jpeg">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11" name="image2.jpeg">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twoCellAnchor editAs="oneCell">
    <xdr:from>
      <xdr:col>0</xdr:col>
      <xdr:colOff>3124200</xdr:colOff>
      <xdr:row>0</xdr:row>
      <xdr:rowOff>47625</xdr:rowOff>
    </xdr:from>
    <xdr:to>
      <xdr:col>0</xdr:col>
      <xdr:colOff>4484370</xdr:colOff>
      <xdr:row>3</xdr:row>
      <xdr:rowOff>8255</xdr:rowOff>
    </xdr:to>
    <xdr:pic>
      <xdr:nvPicPr>
        <xdr:cNvPr id="12" name="image2.jpeg">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13" name="image2.jpeg">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14" name="image2.jpeg">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15" name="image2.jpeg">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16" name="image2.jpeg">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17" name="image2.jpeg">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18" name="image2.jpeg">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19" name="image2.jpeg">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20" name="image2.jpeg">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21" name="image2.jpeg">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twoCellAnchor editAs="oneCell">
    <xdr:from>
      <xdr:col>0</xdr:col>
      <xdr:colOff>3124200</xdr:colOff>
      <xdr:row>0</xdr:row>
      <xdr:rowOff>47625</xdr:rowOff>
    </xdr:from>
    <xdr:to>
      <xdr:col>0</xdr:col>
      <xdr:colOff>4484370</xdr:colOff>
      <xdr:row>3</xdr:row>
      <xdr:rowOff>8255</xdr:rowOff>
    </xdr:to>
    <xdr:pic>
      <xdr:nvPicPr>
        <xdr:cNvPr id="22" name="image2.jpeg">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23" name="image2.jpeg">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24" name="image2.jpeg">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25" name="image2.jpeg">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26" name="image2.jpeg">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27" name="image2.jpeg">
          <a:extLst>
            <a:ext uri="{FF2B5EF4-FFF2-40B4-BE49-F238E27FC236}">
              <a16:creationId xmlns:a16="http://schemas.microsoft.com/office/drawing/2014/main" id="{00000000-0008-0000-0900-00001B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28" name="image2.jpeg">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29" name="image2.jpeg">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30" name="image2.jpeg">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31" name="image2.jpeg">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3089275</xdr:colOff>
      <xdr:row>208</xdr:row>
      <xdr:rowOff>47625</xdr:rowOff>
    </xdr:from>
    <xdr:ext cx="1363345" cy="532130"/>
    <xdr:pic>
      <xdr:nvPicPr>
        <xdr:cNvPr id="35" name="image2.jpeg">
          <a:extLst>
            <a:ext uri="{FF2B5EF4-FFF2-40B4-BE49-F238E27FC236}">
              <a16:creationId xmlns:a16="http://schemas.microsoft.com/office/drawing/2014/main" id="{00000000-0008-0000-0900-000023000000}"/>
            </a:ext>
          </a:extLst>
        </xdr:cNvPr>
        <xdr:cNvPicPr>
          <a:picLocks noChangeAspect="1"/>
        </xdr:cNvPicPr>
      </xdr:nvPicPr>
      <xdr:blipFill>
        <a:blip xmlns:r="http://schemas.openxmlformats.org/officeDocument/2006/relationships" r:embed="rId1" cstate="print"/>
        <a:stretch>
          <a:fillRect/>
        </a:stretch>
      </xdr:blipFill>
      <xdr:spPr>
        <a:xfrm>
          <a:off x="3089275" y="62436375"/>
          <a:ext cx="1363345" cy="532130"/>
        </a:xfrm>
        <a:prstGeom prst="rect">
          <a:avLst/>
        </a:prstGeom>
      </xdr:spPr>
    </xdr:pic>
    <xdr:clientData/>
  </xdr:oneCellAnchor>
  <xdr:oneCellAnchor>
    <xdr:from>
      <xdr:col>0</xdr:col>
      <xdr:colOff>3105150</xdr:colOff>
      <xdr:row>246</xdr:row>
      <xdr:rowOff>127000</xdr:rowOff>
    </xdr:from>
    <xdr:ext cx="1363345" cy="532130"/>
    <xdr:pic>
      <xdr:nvPicPr>
        <xdr:cNvPr id="38" name="image2.jpeg">
          <a:extLst>
            <a:ext uri="{FF2B5EF4-FFF2-40B4-BE49-F238E27FC236}">
              <a16:creationId xmlns:a16="http://schemas.microsoft.com/office/drawing/2014/main" id="{00000000-0008-0000-0900-000026000000}"/>
            </a:ext>
          </a:extLst>
        </xdr:cNvPr>
        <xdr:cNvPicPr>
          <a:picLocks noChangeAspect="1"/>
        </xdr:cNvPicPr>
      </xdr:nvPicPr>
      <xdr:blipFill>
        <a:blip xmlns:r="http://schemas.openxmlformats.org/officeDocument/2006/relationships" r:embed="rId1" cstate="print"/>
        <a:stretch>
          <a:fillRect/>
        </a:stretch>
      </xdr:blipFill>
      <xdr:spPr>
        <a:xfrm>
          <a:off x="3105150" y="72231250"/>
          <a:ext cx="1363345" cy="532130"/>
        </a:xfrm>
        <a:prstGeom prst="rect">
          <a:avLst/>
        </a:prstGeom>
      </xdr:spPr>
    </xdr:pic>
    <xdr:clientData/>
  </xdr:oneCellAnchor>
  <xdr:oneCellAnchor>
    <xdr:from>
      <xdr:col>0</xdr:col>
      <xdr:colOff>3105150</xdr:colOff>
      <xdr:row>277</xdr:row>
      <xdr:rowOff>127000</xdr:rowOff>
    </xdr:from>
    <xdr:ext cx="1363345" cy="532130"/>
    <xdr:pic>
      <xdr:nvPicPr>
        <xdr:cNvPr id="33" name="image2.jpeg">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1" cstate="print"/>
        <a:stretch>
          <a:fillRect/>
        </a:stretch>
      </xdr:blipFill>
      <xdr:spPr>
        <a:xfrm>
          <a:off x="3105150" y="71580375"/>
          <a:ext cx="1363345" cy="532130"/>
        </a:xfrm>
        <a:prstGeom prst="rect">
          <a:avLst/>
        </a:prstGeom>
      </xdr:spPr>
    </xdr:pic>
    <xdr:clientData/>
  </xdr:oneCellAnchor>
  <xdr:oneCellAnchor>
    <xdr:from>
      <xdr:col>0</xdr:col>
      <xdr:colOff>3105150</xdr:colOff>
      <xdr:row>294</xdr:row>
      <xdr:rowOff>127000</xdr:rowOff>
    </xdr:from>
    <xdr:ext cx="1363345" cy="532130"/>
    <xdr:pic>
      <xdr:nvPicPr>
        <xdr:cNvPr id="34" name="image2.jpeg">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1" cstate="print"/>
        <a:stretch>
          <a:fillRect/>
        </a:stretch>
      </xdr:blipFill>
      <xdr:spPr>
        <a:xfrm>
          <a:off x="3105150" y="80279875"/>
          <a:ext cx="1363345" cy="532130"/>
        </a:xfrm>
        <a:prstGeom prst="rect">
          <a:avLst/>
        </a:prstGeom>
      </xdr:spPr>
    </xdr:pic>
    <xdr:clientData/>
  </xdr:oneCellAnchor>
  <xdr:oneCellAnchor>
    <xdr:from>
      <xdr:col>0</xdr:col>
      <xdr:colOff>3105150</xdr:colOff>
      <xdr:row>329</xdr:row>
      <xdr:rowOff>127000</xdr:rowOff>
    </xdr:from>
    <xdr:ext cx="1363345" cy="532130"/>
    <xdr:pic>
      <xdr:nvPicPr>
        <xdr:cNvPr id="36" name="image2.jpeg">
          <a:extLst>
            <a:ext uri="{FF2B5EF4-FFF2-40B4-BE49-F238E27FC236}">
              <a16:creationId xmlns:a16="http://schemas.microsoft.com/office/drawing/2014/main" id="{00000000-0008-0000-0900-000024000000}"/>
            </a:ext>
          </a:extLst>
        </xdr:cNvPr>
        <xdr:cNvPicPr>
          <a:picLocks noChangeAspect="1"/>
        </xdr:cNvPicPr>
      </xdr:nvPicPr>
      <xdr:blipFill>
        <a:blip xmlns:r="http://schemas.openxmlformats.org/officeDocument/2006/relationships" r:embed="rId1" cstate="print"/>
        <a:stretch>
          <a:fillRect/>
        </a:stretch>
      </xdr:blipFill>
      <xdr:spPr>
        <a:xfrm>
          <a:off x="3105150" y="84915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37" name="image2.jpeg">
          <a:extLst>
            <a:ext uri="{FF2B5EF4-FFF2-40B4-BE49-F238E27FC236}">
              <a16:creationId xmlns:a16="http://schemas.microsoft.com/office/drawing/2014/main" id="{00000000-0008-0000-0900-000025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39" name="image2.jpeg">
          <a:extLst>
            <a:ext uri="{FF2B5EF4-FFF2-40B4-BE49-F238E27FC236}">
              <a16:creationId xmlns:a16="http://schemas.microsoft.com/office/drawing/2014/main" id="{00000000-0008-0000-0900-000027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0" name="image2.jpeg">
          <a:extLst>
            <a:ext uri="{FF2B5EF4-FFF2-40B4-BE49-F238E27FC236}">
              <a16:creationId xmlns:a16="http://schemas.microsoft.com/office/drawing/2014/main" id="{00000000-0008-0000-0900-000028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1" name="image2.jpeg">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2" name="image2.jpeg">
          <a:extLst>
            <a:ext uri="{FF2B5EF4-FFF2-40B4-BE49-F238E27FC236}">
              <a16:creationId xmlns:a16="http://schemas.microsoft.com/office/drawing/2014/main" id="{00000000-0008-0000-0900-00002A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3" name="image2.jpeg">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360</xdr:row>
      <xdr:rowOff>127000</xdr:rowOff>
    </xdr:from>
    <xdr:ext cx="1363345" cy="532130"/>
    <xdr:pic>
      <xdr:nvPicPr>
        <xdr:cNvPr id="44" name="image2.jpeg">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 cstate="print"/>
        <a:stretch>
          <a:fillRect/>
        </a:stretch>
      </xdr:blipFill>
      <xdr:spPr>
        <a:xfrm>
          <a:off x="3105150" y="93005275"/>
          <a:ext cx="1363345" cy="53213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57150</xdr:colOff>
      <xdr:row>177</xdr:row>
      <xdr:rowOff>28575</xdr:rowOff>
    </xdr:from>
    <xdr:to>
      <xdr:col>2</xdr:col>
      <xdr:colOff>3474720</xdr:colOff>
      <xdr:row>178</xdr:row>
      <xdr:rowOff>133350</xdr:rowOff>
    </xdr:to>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D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169</xdr:row>
      <xdr:rowOff>76200</xdr:rowOff>
    </xdr:from>
    <xdr:to>
      <xdr:col>7</xdr:col>
      <xdr:colOff>3457575</xdr:colOff>
      <xdr:row>173</xdr:row>
      <xdr:rowOff>57150</xdr:rowOff>
    </xdr:to>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D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165</xdr:row>
      <xdr:rowOff>28575</xdr:rowOff>
    </xdr:from>
    <xdr:to>
      <xdr:col>7</xdr:col>
      <xdr:colOff>3276600</xdr:colOff>
      <xdr:row>172</xdr:row>
      <xdr:rowOff>108585</xdr:rowOff>
    </xdr:to>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D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165</xdr:row>
      <xdr:rowOff>9525</xdr:rowOff>
    </xdr:from>
    <xdr:to>
      <xdr:col>7</xdr:col>
      <xdr:colOff>2038350</xdr:colOff>
      <xdr:row>172</xdr:row>
      <xdr:rowOff>118110</xdr:rowOff>
    </xdr:to>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D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502920</xdr:colOff>
      <xdr:row>390</xdr:row>
      <xdr:rowOff>80120</xdr:rowOff>
    </xdr:from>
    <xdr:to>
      <xdr:col>3</xdr:col>
      <xdr:colOff>1905</xdr:colOff>
      <xdr:row>396</xdr:row>
      <xdr:rowOff>16763</xdr:rowOff>
    </xdr:to>
    <xdr:pic>
      <xdr:nvPicPr>
        <xdr:cNvPr id="11" name="Picture 10">
          <a:extLst>
            <a:ext uri="{FF2B5EF4-FFF2-40B4-BE49-F238E27FC236}">
              <a16:creationId xmlns:a16="http://schemas.microsoft.com/office/drawing/2014/main" id="{BF04E40E-5AF9-378B-227E-5487CCB016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 y="73910300"/>
          <a:ext cx="3147060" cy="1308243"/>
        </a:xfrm>
        <a:prstGeom prst="rect">
          <a:avLst/>
        </a:prstGeom>
      </xdr:spPr>
    </xdr:pic>
    <xdr:clientData/>
  </xdr:twoCellAnchor>
  <xdr:twoCellAnchor editAs="oneCell">
    <xdr:from>
      <xdr:col>3</xdr:col>
      <xdr:colOff>144780</xdr:colOff>
      <xdr:row>171</xdr:row>
      <xdr:rowOff>17545</xdr:rowOff>
    </xdr:from>
    <xdr:to>
      <xdr:col>5</xdr:col>
      <xdr:colOff>617220</xdr:colOff>
      <xdr:row>173</xdr:row>
      <xdr:rowOff>301577</xdr:rowOff>
    </xdr:to>
    <xdr:pic>
      <xdr:nvPicPr>
        <xdr:cNvPr id="12" name="Picture 11">
          <a:extLst>
            <a:ext uri="{FF2B5EF4-FFF2-40B4-BE49-F238E27FC236}">
              <a16:creationId xmlns:a16="http://schemas.microsoft.com/office/drawing/2014/main" id="{6970035A-AA59-4434-9DAE-5C988EE5E1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73040" y="40274005"/>
          <a:ext cx="1783080" cy="7412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205740</xdr:colOff>
      <xdr:row>331</xdr:row>
      <xdr:rowOff>15240</xdr:rowOff>
    </xdr:from>
    <xdr:ext cx="3724275" cy="1851660"/>
    <xdr:pic>
      <xdr:nvPicPr>
        <xdr:cNvPr id="2" name="Picture 5">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3515" y="75653265"/>
          <a:ext cx="3724275" cy="1851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3429000</xdr:colOff>
      <xdr:row>44</xdr:row>
      <xdr:rowOff>15241</xdr:rowOff>
    </xdr:from>
    <xdr:ext cx="1870710" cy="765810"/>
    <xdr:pic>
      <xdr:nvPicPr>
        <xdr:cNvPr id="3" name="Picture 6">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29150" y="10111741"/>
          <a:ext cx="1870710" cy="765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3088005</xdr:colOff>
      <xdr:row>1</xdr:row>
      <xdr:rowOff>41910</xdr:rowOff>
    </xdr:from>
    <xdr:ext cx="2082165" cy="777240"/>
    <xdr:pic>
      <xdr:nvPicPr>
        <xdr:cNvPr id="4" name="Picture 7">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780" y="270510"/>
          <a:ext cx="2082165"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57150</xdr:colOff>
      <xdr:row>185</xdr:row>
      <xdr:rowOff>28575</xdr:rowOff>
    </xdr:from>
    <xdr:ext cx="3324225" cy="295275"/>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E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19050</xdr:colOff>
      <xdr:row>177</xdr:row>
      <xdr:rowOff>76200</xdr:rowOff>
    </xdr:from>
    <xdr:ext cx="3438525" cy="323850"/>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E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2428875</xdr:colOff>
      <xdr:row>173</xdr:row>
      <xdr:rowOff>28575</xdr:rowOff>
    </xdr:from>
    <xdr:ext cx="847725" cy="238125"/>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E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857250</xdr:colOff>
      <xdr:row>173</xdr:row>
      <xdr:rowOff>9525</xdr:rowOff>
    </xdr:from>
    <xdr:ext cx="1181100" cy="247650"/>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E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2</xdr:col>
      <xdr:colOff>3451860</xdr:colOff>
      <xdr:row>178</xdr:row>
      <xdr:rowOff>83820</xdr:rowOff>
    </xdr:from>
    <xdr:ext cx="1925955" cy="800100"/>
    <xdr:pic>
      <xdr:nvPicPr>
        <xdr:cNvPr id="9" name="Picture 6">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2960" y="42927270"/>
          <a:ext cx="192595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mc:AlternateContent xmlns:mc="http://schemas.openxmlformats.org/markup-compatibility/2006">
    <mc:Choice xmlns:a14="http://schemas.microsoft.com/office/drawing/2010/main" Requires="a14">
      <xdr:twoCellAnchor editAs="oneCell">
        <xdr:from>
          <xdr:col>2</xdr:col>
          <xdr:colOff>7620</xdr:colOff>
          <xdr:row>185</xdr:row>
          <xdr:rowOff>22860</xdr:rowOff>
        </xdr:from>
        <xdr:to>
          <xdr:col>3</xdr:col>
          <xdr:colOff>0</xdr:colOff>
          <xdr:row>185</xdr:row>
          <xdr:rowOff>259080</xdr:rowOff>
        </xdr:to>
        <xdr:sp macro="" textlink="">
          <xdr:nvSpPr>
            <xdr:cNvPr id="28673" name="ComboBox1" hidden="1">
              <a:extLst>
                <a:ext uri="{63B3BB69-23CF-44E3-9099-C40C66FF867C}">
                  <a14:compatExt spid="_x0000_s28673"/>
                </a:ext>
                <a:ext uri="{FF2B5EF4-FFF2-40B4-BE49-F238E27FC236}">
                  <a16:creationId xmlns:a16="http://schemas.microsoft.com/office/drawing/2014/main" id="{00000000-0008-0000-0D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342900</xdr:colOff>
          <xdr:row>173</xdr:row>
          <xdr:rowOff>22860</xdr:rowOff>
        </xdr:from>
        <xdr:to>
          <xdr:col>7</xdr:col>
          <xdr:colOff>1333500</xdr:colOff>
          <xdr:row>174</xdr:row>
          <xdr:rowOff>0</xdr:rowOff>
        </xdr:to>
        <xdr:sp macro="" textlink="">
          <xdr:nvSpPr>
            <xdr:cNvPr id="28674" name="optShepparton" hidden="1">
              <a:extLst>
                <a:ext uri="{63B3BB69-23CF-44E3-9099-C40C66FF867C}">
                  <a14:compatExt spid="_x0000_s28674"/>
                </a:ext>
                <a:ext uri="{FF2B5EF4-FFF2-40B4-BE49-F238E27FC236}">
                  <a16:creationId xmlns:a16="http://schemas.microsoft.com/office/drawing/2014/main" id="{00000000-0008-0000-0D00-000002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2247900</xdr:colOff>
          <xdr:row>173</xdr:row>
          <xdr:rowOff>22860</xdr:rowOff>
        </xdr:from>
        <xdr:to>
          <xdr:col>7</xdr:col>
          <xdr:colOff>3238500</xdr:colOff>
          <xdr:row>174</xdr:row>
          <xdr:rowOff>0</xdr:rowOff>
        </xdr:to>
        <xdr:sp macro="" textlink="">
          <xdr:nvSpPr>
            <xdr:cNvPr id="28675" name="optECHUCA" hidden="1">
              <a:extLst>
                <a:ext uri="{63B3BB69-23CF-44E3-9099-C40C66FF867C}">
                  <a14:compatExt spid="_x0000_s28675"/>
                </a:ext>
                <a:ext uri="{FF2B5EF4-FFF2-40B4-BE49-F238E27FC236}">
                  <a16:creationId xmlns:a16="http://schemas.microsoft.com/office/drawing/2014/main" id="{00000000-0008-0000-0D00-000003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171</xdr:row>
          <xdr:rowOff>38100</xdr:rowOff>
        </xdr:from>
        <xdr:to>
          <xdr:col>7</xdr:col>
          <xdr:colOff>1889760</xdr:colOff>
          <xdr:row>171</xdr:row>
          <xdr:rowOff>274320</xdr:rowOff>
        </xdr:to>
        <xdr:sp macro="" textlink="">
          <xdr:nvSpPr>
            <xdr:cNvPr id="28676" name="cmbTimePeriod" hidden="1">
              <a:extLst>
                <a:ext uri="{63B3BB69-23CF-44E3-9099-C40C66FF867C}">
                  <a14:compatExt spid="_x0000_s28676"/>
                </a:ext>
                <a:ext uri="{FF2B5EF4-FFF2-40B4-BE49-F238E27FC236}">
                  <a16:creationId xmlns:a16="http://schemas.microsoft.com/office/drawing/2014/main" id="{00000000-0008-0000-0D00-000004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xdr:colOff>
          <xdr:row>177</xdr:row>
          <xdr:rowOff>22860</xdr:rowOff>
        </xdr:from>
        <xdr:to>
          <xdr:col>7</xdr:col>
          <xdr:colOff>1790700</xdr:colOff>
          <xdr:row>177</xdr:row>
          <xdr:rowOff>289560</xdr:rowOff>
        </xdr:to>
        <xdr:sp macro="" textlink="">
          <xdr:nvSpPr>
            <xdr:cNvPr id="28677" name="cmdArea" hidden="1">
              <a:extLst>
                <a:ext uri="{63B3BB69-23CF-44E3-9099-C40C66FF867C}">
                  <a14:compatExt spid="_x0000_s28677"/>
                </a:ext>
                <a:ext uri="{FF2B5EF4-FFF2-40B4-BE49-F238E27FC236}">
                  <a16:creationId xmlns:a16="http://schemas.microsoft.com/office/drawing/2014/main" id="{00000000-0008-0000-0D00-000005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3139440</xdr:colOff>
      <xdr:row>169</xdr:row>
      <xdr:rowOff>7620</xdr:rowOff>
    </xdr:from>
    <xdr:ext cx="289560" cy="289560"/>
    <xdr:pic>
      <xdr:nvPicPr>
        <xdr:cNvPr id="15" name="Picture 14" descr="539,782 Lock Stock Photos, Pictures &amp; Royalty-Free Images - iStock">
          <a:extLst>
            <a:ext uri="{FF2B5EF4-FFF2-40B4-BE49-F238E27FC236}">
              <a16:creationId xmlns:a16="http://schemas.microsoft.com/office/drawing/2014/main" id="{00000000-0008-0000-0E00-00000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292715" y="40345995"/>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3421380</xdr:colOff>
      <xdr:row>168</xdr:row>
      <xdr:rowOff>304800</xdr:rowOff>
    </xdr:from>
    <xdr:ext cx="327660" cy="333375"/>
    <xdr:pic>
      <xdr:nvPicPr>
        <xdr:cNvPr id="16" name="Picture 15">
          <a:extLst>
            <a:ext uri="{FF2B5EF4-FFF2-40B4-BE49-F238E27FC236}">
              <a16:creationId xmlns:a16="http://schemas.microsoft.com/office/drawing/2014/main" id="{00000000-0008-0000-0E00-00001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74655" y="40309800"/>
          <a:ext cx="327660" cy="3333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4%20-%20Estimating\2%20-%20Dean\Facades\Master%20Sales%20Estimate%20-%20VIC.xlsx" TargetMode="External"/><Relationship Id="rId1" Type="http://schemas.openxmlformats.org/officeDocument/2006/relationships/externalLinkPath" Target="/4%20-%20Estimating/2%20-%20Dean/Facades%20&amp;%20Fast%20Key/Master%20Sales%20Estimate%20-%20VIC.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N:\8%20-%20Administration\Colour%20Selection\Colour%20Book%20Tools\Fast%20Keys\Admin%20Docs\Inclusions%20&amp;%20Upgrade%20Lists.xlsx" TargetMode="External"/><Relationship Id="rId1" Type="http://schemas.openxmlformats.org/officeDocument/2006/relationships/externalLinkPath" Target="/8%20-%20Administration/Colour%20Selection/Colour%20Book%20Tools/Fast%20Keys/Admin%20Docs/Inclusions%20&amp;%20Upgrade%20Li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festyle"/>
      <sheetName val="Landscaping"/>
      <sheetName val="Shepparton"/>
      <sheetName val="Investor"/>
      <sheetName val="Echuca"/>
      <sheetName val="Value Packs"/>
      <sheetName val="Sandown 32 Display"/>
      <sheetName val="Travel Working"/>
      <sheetName val="Estimator"/>
      <sheetName val="Facade Pricing"/>
      <sheetName val="FACADES1"/>
      <sheetName val="FACADE COSTINGS"/>
      <sheetName val="WORKINGS"/>
      <sheetName val="1.HOUSE PRICE"/>
      <sheetName val="2.TRAVEL"/>
      <sheetName val="3.SALES ESTIMATE"/>
      <sheetName val="MALDON DISPLAY"/>
      <sheetName val="PARKDALE DISPLAY"/>
      <sheetName val="Inglewood 42 Display"/>
      <sheetName val="Windows &amp; Sliding Doors"/>
      <sheetName val="Swing Doors"/>
      <sheetName val="Garage Doors"/>
      <sheetName val="Cabinetry"/>
      <sheetName val="Appliances"/>
      <sheetName val="Showers, Baths &amp; Toilets"/>
      <sheetName val="Electrical"/>
      <sheetName val="House extension"/>
      <sheetName val="Robes &amp; Shelving"/>
      <sheetName val="Floor Coverings"/>
      <sheetName val="Window Coverings"/>
      <sheetName val="Yard Items"/>
      <sheetName val="Site Costs"/>
      <sheetName val="Fac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9">
          <cell r="D9">
            <v>140</v>
          </cell>
        </row>
      </sheetData>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NDARD"/>
      <sheetName val="UPGRADES - BYRON RANGE"/>
      <sheetName val="UPGRADES - ASHWOOD RANGE"/>
      <sheetName val="UPGRADES - MALVERN RANGE"/>
      <sheetName val="NOTES"/>
    </sheetNames>
    <sheetDataSet>
      <sheetData sheetId="0"/>
      <sheetData sheetId="1">
        <row r="6">
          <cell r="B6" t="str">
            <v>Extend garage by 500mm</v>
          </cell>
          <cell r="L6">
            <v>2500</v>
          </cell>
          <cell r="M6">
            <v>2500</v>
          </cell>
          <cell r="N6">
            <v>2500</v>
          </cell>
        </row>
        <row r="7">
          <cell r="B7" t="str">
            <v>Extend garage by 1000mm</v>
          </cell>
          <cell r="L7">
            <v>5000</v>
          </cell>
          <cell r="M7">
            <v>5000</v>
          </cell>
          <cell r="N7">
            <v>5000</v>
          </cell>
        </row>
        <row r="8">
          <cell r="B8" t="str">
            <v>Outdoor Living - addition 1</v>
          </cell>
          <cell r="L8">
            <v>4580</v>
          </cell>
          <cell r="M8">
            <v>5500</v>
          </cell>
          <cell r="N8">
            <v>4050</v>
          </cell>
        </row>
        <row r="9">
          <cell r="B9" t="str">
            <v>Outdoor Living - brick pier in lieu of steel post</v>
          </cell>
          <cell r="L9">
            <v>400</v>
          </cell>
          <cell r="M9">
            <v>800</v>
          </cell>
          <cell r="N9">
            <v>400</v>
          </cell>
        </row>
        <row r="10">
          <cell r="B10" t="str">
            <v xml:space="preserve">Additional concrete - outdoor living </v>
          </cell>
          <cell r="L10">
            <v>1680</v>
          </cell>
          <cell r="M10">
            <v>1960</v>
          </cell>
          <cell r="N10">
            <v>1400</v>
          </cell>
        </row>
        <row r="11">
          <cell r="B11" t="str">
            <v>Outdoor Living - addition 2</v>
          </cell>
          <cell r="L11">
            <v>7250</v>
          </cell>
          <cell r="M11">
            <v>7250</v>
          </cell>
          <cell r="N11">
            <v>7250</v>
          </cell>
        </row>
        <row r="12">
          <cell r="B12" t="str">
            <v>Outdoor Living - brick pier in lieu of steel post</v>
          </cell>
          <cell r="L12">
            <v>800</v>
          </cell>
          <cell r="M12">
            <v>800</v>
          </cell>
          <cell r="N12">
            <v>800</v>
          </cell>
        </row>
        <row r="13">
          <cell r="B13" t="str">
            <v xml:space="preserve">Additional concrete- Outdoor living </v>
          </cell>
          <cell r="L13">
            <v>2520</v>
          </cell>
          <cell r="M13">
            <v>2520</v>
          </cell>
          <cell r="N13">
            <v>2520</v>
          </cell>
        </row>
        <row r="14">
          <cell r="B14" t="str">
            <v>Kitchen - The Entertainers Kitchen</v>
          </cell>
          <cell r="L14">
            <v>900</v>
          </cell>
          <cell r="M14">
            <v>900</v>
          </cell>
          <cell r="N14">
            <v>900</v>
          </cell>
        </row>
        <row r="15">
          <cell r="B15" t="str">
            <v>Kitchen - The Modern Chef Kitchen</v>
          </cell>
          <cell r="L15">
            <v>4100</v>
          </cell>
          <cell r="M15">
            <v>4100</v>
          </cell>
          <cell r="N15">
            <v>4100</v>
          </cell>
        </row>
        <row r="16">
          <cell r="B16" t="str">
            <v>Ensuite - The Signature Ensuite</v>
          </cell>
          <cell r="L16">
            <v>750</v>
          </cell>
          <cell r="M16">
            <v>750</v>
          </cell>
          <cell r="N16">
            <v>750</v>
          </cell>
        </row>
        <row r="17">
          <cell r="B17" t="str">
            <v>Ensuite - The Indulgence Ensuite</v>
          </cell>
          <cell r="L17">
            <v>3280</v>
          </cell>
          <cell r="M17">
            <v>3280</v>
          </cell>
          <cell r="N17">
            <v>3280</v>
          </cell>
        </row>
        <row r="19">
          <cell r="B19" t="str">
            <v>1 The Retreat Façade</v>
          </cell>
          <cell r="L19">
            <v>3300</v>
          </cell>
          <cell r="M19">
            <v>3300</v>
          </cell>
          <cell r="N19">
            <v>3300</v>
          </cell>
        </row>
        <row r="20">
          <cell r="B20" t="str">
            <v>2 The Rise Façade</v>
          </cell>
          <cell r="L20">
            <v>7300</v>
          </cell>
          <cell r="M20">
            <v>7300</v>
          </cell>
          <cell r="N20">
            <v>7300</v>
          </cell>
        </row>
        <row r="21">
          <cell r="B21" t="str">
            <v>3 The Escape Façade</v>
          </cell>
          <cell r="L21">
            <v>8950</v>
          </cell>
          <cell r="M21">
            <v>8950</v>
          </cell>
          <cell r="N21">
            <v>8950</v>
          </cell>
        </row>
        <row r="22">
          <cell r="B22" t="str">
            <v>4 The Essence Façade</v>
          </cell>
          <cell r="L22">
            <v>6500</v>
          </cell>
          <cell r="M22">
            <v>6500</v>
          </cell>
          <cell r="N22">
            <v>6500</v>
          </cell>
        </row>
        <row r="23">
          <cell r="B23" t="str">
            <v>5 The Sanctuary Façade</v>
          </cell>
          <cell r="L23">
            <v>9050</v>
          </cell>
          <cell r="M23">
            <v>9050</v>
          </cell>
          <cell r="N23">
            <v>9050</v>
          </cell>
        </row>
        <row r="24">
          <cell r="B24" t="str">
            <v>6. The Summit Façade</v>
          </cell>
          <cell r="L24">
            <v>8500</v>
          </cell>
          <cell r="M24">
            <v>8500</v>
          </cell>
          <cell r="N24">
            <v>8500</v>
          </cell>
        </row>
        <row r="25">
          <cell r="B25" t="str">
            <v>7. The Haven Facade</v>
          </cell>
          <cell r="L25">
            <v>8500</v>
          </cell>
          <cell r="M25">
            <v>8500</v>
          </cell>
          <cell r="N25">
            <v>8500</v>
          </cell>
        </row>
        <row r="26">
          <cell r="B26" t="str">
            <v>9. The Horizon Façade</v>
          </cell>
          <cell r="L26">
            <v>10500</v>
          </cell>
          <cell r="M26">
            <v>10500</v>
          </cell>
          <cell r="N26">
            <v>10500</v>
          </cell>
        </row>
        <row r="29">
          <cell r="B29" t="str">
            <v>600mm overhead either side of rangehood</v>
          </cell>
          <cell r="L29">
            <v>990</v>
          </cell>
          <cell r="M29">
            <v>990</v>
          </cell>
          <cell r="N29">
            <v>990</v>
          </cell>
        </row>
        <row r="30">
          <cell r="B30" t="str">
            <v>Overhead cupboards with integrated rangehood</v>
          </cell>
          <cell r="L30">
            <v>1650</v>
          </cell>
          <cell r="M30">
            <v>1650</v>
          </cell>
          <cell r="N30">
            <v>1650</v>
          </cell>
        </row>
        <row r="31">
          <cell r="B31" t="str">
            <v>Fridge overhead cupboard</v>
          </cell>
          <cell r="L31">
            <v>960</v>
          </cell>
          <cell r="M31">
            <v>960</v>
          </cell>
          <cell r="N31">
            <v>960</v>
          </cell>
        </row>
        <row r="32">
          <cell r="L32">
            <v>330</v>
          </cell>
          <cell r="M32">
            <v>330</v>
          </cell>
          <cell r="N32">
            <v>330</v>
          </cell>
        </row>
        <row r="33">
          <cell r="B33" t="str">
            <v>Microwave cavity with drawer below</v>
          </cell>
          <cell r="L33">
            <v>415</v>
          </cell>
          <cell r="M33">
            <v>415</v>
          </cell>
          <cell r="N33">
            <v>415</v>
          </cell>
        </row>
        <row r="34">
          <cell r="B34" t="str">
            <v>Twin bin with drawer below</v>
          </cell>
          <cell r="L34">
            <v>250</v>
          </cell>
          <cell r="M34">
            <v>250</v>
          </cell>
          <cell r="N34">
            <v>250</v>
          </cell>
        </row>
        <row r="35">
          <cell r="B35" t="str">
            <v>1212 No Bottom Reveal Window to Kitchen Upgrade 2</v>
          </cell>
          <cell r="L35">
            <v>390</v>
          </cell>
          <cell r="M35">
            <v>390</v>
          </cell>
          <cell r="N35">
            <v>390</v>
          </cell>
        </row>
        <row r="37">
          <cell r="B37" t="str">
            <v>Bank of 3 drawers to vanities</v>
          </cell>
          <cell r="L37">
            <v>660</v>
          </cell>
          <cell r="M37">
            <v>660</v>
          </cell>
          <cell r="N37">
            <v>660</v>
          </cell>
        </row>
        <row r="38">
          <cell r="L38">
            <v>330</v>
          </cell>
          <cell r="M38">
            <v>330</v>
          </cell>
          <cell r="N38">
            <v>330</v>
          </cell>
        </row>
        <row r="39">
          <cell r="L39">
            <v>280</v>
          </cell>
          <cell r="M39">
            <v>280</v>
          </cell>
          <cell r="N39">
            <v>280</v>
          </cell>
        </row>
        <row r="40">
          <cell r="B40" t="str">
            <v>Tiled recess shelves</v>
          </cell>
          <cell r="L40">
            <v>800</v>
          </cell>
          <cell r="M40">
            <v>800</v>
          </cell>
          <cell r="N40">
            <v>800</v>
          </cell>
        </row>
        <row r="41">
          <cell r="B41" t="str">
            <v>Extend tiles to 2.1m high on vanity wall</v>
          </cell>
          <cell r="L41">
            <v>300</v>
          </cell>
          <cell r="M41">
            <v>300</v>
          </cell>
          <cell r="N41">
            <v>300</v>
          </cell>
        </row>
        <row r="42">
          <cell r="B42" t="str">
            <v>Extend tiles to 2.1m high on remaining three walls</v>
          </cell>
          <cell r="L42">
            <v>1700</v>
          </cell>
          <cell r="M42">
            <v>1700</v>
          </cell>
          <cell r="N42">
            <v>1700</v>
          </cell>
        </row>
        <row r="44">
          <cell r="B44" t="str">
            <v>1200mm Laminate benchtop &amp; cupboards</v>
          </cell>
          <cell r="L44">
            <v>1680</v>
          </cell>
          <cell r="M44">
            <v>1680</v>
          </cell>
          <cell r="N44">
            <v>1680</v>
          </cell>
        </row>
        <row r="45">
          <cell r="B45" t="str">
            <v>Extend laminate benchtop only by 1350mm with powerpoint</v>
          </cell>
          <cell r="L45">
            <v>830</v>
          </cell>
          <cell r="M45">
            <v>830</v>
          </cell>
          <cell r="N45">
            <v>830</v>
          </cell>
        </row>
        <row r="46">
          <cell r="B46" t="str">
            <v>1200mm Overhead cupboards</v>
          </cell>
          <cell r="L46">
            <v>1040</v>
          </cell>
          <cell r="M46">
            <v>1040</v>
          </cell>
          <cell r="N46">
            <v>1040</v>
          </cell>
        </row>
        <row r="47">
          <cell r="B47" t="str">
            <v>1350mm Overhead cupboards</v>
          </cell>
          <cell r="L47">
            <v>1170</v>
          </cell>
          <cell r="M47">
            <v>1170</v>
          </cell>
          <cell r="N47">
            <v>1170</v>
          </cell>
        </row>
        <row r="48">
          <cell r="B48" t="str">
            <v>Hanging rail under overheads</v>
          </cell>
          <cell r="L48">
            <v>300</v>
          </cell>
          <cell r="M48">
            <v>300</v>
          </cell>
          <cell r="N48">
            <v>300</v>
          </cell>
        </row>
        <row r="49">
          <cell r="B49" t="str">
            <v>Pullout laundry basket with drawer</v>
          </cell>
          <cell r="L49">
            <v>235</v>
          </cell>
          <cell r="M49">
            <v>235</v>
          </cell>
          <cell r="N49">
            <v>235</v>
          </cell>
        </row>
        <row r="51">
          <cell r="B51" t="str">
            <v>Eaves to whole home</v>
          </cell>
          <cell r="L51">
            <v>4500</v>
          </cell>
          <cell r="M51">
            <v>4900</v>
          </cell>
          <cell r="N51">
            <v>5100</v>
          </cell>
        </row>
        <row r="52">
          <cell r="B52" t="str">
            <v>Add 2100h x 2400w roller door - (2550mm Cielings Required)</v>
          </cell>
          <cell r="L52">
            <v>1670</v>
          </cell>
          <cell r="M52">
            <v>1670</v>
          </cell>
          <cell r="N52">
            <v>1670</v>
          </cell>
        </row>
        <row r="53">
          <cell r="B53" t="str">
            <v>2550mm ceiling</v>
          </cell>
          <cell r="L53">
            <v>3500</v>
          </cell>
          <cell r="M53">
            <v>3900</v>
          </cell>
          <cell r="N53">
            <v>4000</v>
          </cell>
        </row>
        <row r="56">
          <cell r="B56" t="str">
            <v>Double glazing to whole home (please note: all windows will be awning)</v>
          </cell>
          <cell r="L56">
            <v>4700</v>
          </cell>
          <cell r="M56">
            <v>5100</v>
          </cell>
          <cell r="N56">
            <v>5500</v>
          </cell>
        </row>
        <row r="57">
          <cell r="B57" t="str">
            <v>Sliding door in lieu of swing</v>
          </cell>
          <cell r="L57">
            <v>200</v>
          </cell>
          <cell r="M57">
            <v>200</v>
          </cell>
          <cell r="N57">
            <v>200</v>
          </cell>
        </row>
        <row r="58">
          <cell r="B58" t="str">
            <v>Wall mounted clothesline</v>
          </cell>
          <cell r="L58">
            <v>400</v>
          </cell>
          <cell r="M58">
            <v>400</v>
          </cell>
          <cell r="N58">
            <v>400</v>
          </cell>
        </row>
        <row r="59">
          <cell r="B59" t="str">
            <v>Letterbox</v>
          </cell>
          <cell r="L59">
            <v>350</v>
          </cell>
          <cell r="M59">
            <v>350</v>
          </cell>
          <cell r="N59">
            <v>350</v>
          </cell>
        </row>
        <row r="60">
          <cell r="B60" t="str">
            <v>Newington front door</v>
          </cell>
          <cell r="L60">
            <v>300</v>
          </cell>
          <cell r="M60">
            <v>300</v>
          </cell>
          <cell r="N60">
            <v>300</v>
          </cell>
        </row>
        <row r="61">
          <cell r="B61" t="str">
            <v>Nexion front door handle</v>
          </cell>
          <cell r="L61">
            <v>175</v>
          </cell>
          <cell r="M61">
            <v>175</v>
          </cell>
          <cell r="N61">
            <v>175</v>
          </cell>
        </row>
        <row r="62">
          <cell r="B62" t="str">
            <v>Brick Upgrade</v>
          </cell>
          <cell r="L62">
            <v>720</v>
          </cell>
          <cell r="M62">
            <v>720</v>
          </cell>
          <cell r="N62">
            <v>720</v>
          </cell>
        </row>
        <row r="64">
          <cell r="B64" t="str">
            <v>Internal door pack - WIR, WIP &amp; rear hallway</v>
          </cell>
          <cell r="L64">
            <v>660</v>
          </cell>
          <cell r="M64">
            <v>660</v>
          </cell>
          <cell r="N64">
            <v>660</v>
          </cell>
        </row>
        <row r="65">
          <cell r="B65" t="str">
            <v>2340mm high internal doors &amp; robe/linen doors - (2550mm Cielings Required)</v>
          </cell>
          <cell r="L65">
            <v>960</v>
          </cell>
          <cell r="M65">
            <v>1200</v>
          </cell>
          <cell r="N65">
            <v>1200</v>
          </cell>
        </row>
        <row r="66">
          <cell r="B66" t="str">
            <v>Single roller blinds</v>
          </cell>
          <cell r="L66">
            <v>2500</v>
          </cell>
          <cell r="M66">
            <v>2780</v>
          </cell>
          <cell r="N66">
            <v>2780</v>
          </cell>
        </row>
        <row r="68">
          <cell r="L68">
            <v>50</v>
          </cell>
          <cell r="M68">
            <v>50</v>
          </cell>
          <cell r="N68">
            <v>50</v>
          </cell>
        </row>
        <row r="69">
          <cell r="L69">
            <v>185</v>
          </cell>
          <cell r="M69">
            <v>185</v>
          </cell>
          <cell r="N69">
            <v>185</v>
          </cell>
        </row>
        <row r="70">
          <cell r="L70">
            <v>510</v>
          </cell>
          <cell r="M70">
            <v>510</v>
          </cell>
          <cell r="N70">
            <v>510</v>
          </cell>
        </row>
        <row r="72">
          <cell r="B72" t="str">
            <v>600mm stainless steel oven &amp; canopy rangehood and electric cooktop</v>
          </cell>
          <cell r="L72">
            <v>365</v>
          </cell>
          <cell r="M72">
            <v>365</v>
          </cell>
          <cell r="N72">
            <v>365</v>
          </cell>
        </row>
        <row r="73">
          <cell r="B73" t="str">
            <v>900mm black inbuilt oven, cooktop &amp; canopy rangehood</v>
          </cell>
          <cell r="L73">
            <v>1870</v>
          </cell>
          <cell r="M73">
            <v>1870</v>
          </cell>
          <cell r="N73">
            <v>1870</v>
          </cell>
        </row>
        <row r="74">
          <cell r="B74" t="str">
            <v>900mm stainless steel inbuilt oven, cooktop &amp; canopy rangehood</v>
          </cell>
          <cell r="L74">
            <v>1860</v>
          </cell>
          <cell r="M74">
            <v>1860</v>
          </cell>
          <cell r="N74">
            <v>1860</v>
          </cell>
        </row>
        <row r="75">
          <cell r="B75" t="str">
            <v>900mm black undermount rangehood in lieu of canopy</v>
          </cell>
          <cell r="L75">
            <v>800</v>
          </cell>
          <cell r="M75">
            <v>800</v>
          </cell>
          <cell r="N75">
            <v>800</v>
          </cell>
        </row>
        <row r="76">
          <cell r="B76" t="str">
            <v>900mm stainless steel undermount rangehood in lieu of canopy</v>
          </cell>
          <cell r="L76">
            <v>770</v>
          </cell>
          <cell r="M76">
            <v>770</v>
          </cell>
          <cell r="N76">
            <v>770</v>
          </cell>
        </row>
        <row r="77">
          <cell r="B77" t="str">
            <v>Stainless steel dishwasher</v>
          </cell>
          <cell r="L77">
            <v>700</v>
          </cell>
          <cell r="M77">
            <v>700</v>
          </cell>
          <cell r="N77">
            <v>700</v>
          </cell>
        </row>
        <row r="78">
          <cell r="B78" t="str">
            <v>Black dishwasher</v>
          </cell>
          <cell r="L78">
            <v>750</v>
          </cell>
          <cell r="M78">
            <v>750</v>
          </cell>
          <cell r="N78">
            <v>750</v>
          </cell>
        </row>
        <row r="79">
          <cell r="B79" t="str">
            <v>Cold water point for fridge</v>
          </cell>
          <cell r="L79">
            <v>200</v>
          </cell>
          <cell r="M79">
            <v>200</v>
          </cell>
          <cell r="N79">
            <v>200</v>
          </cell>
        </row>
        <row r="80">
          <cell r="L80">
            <v>350</v>
          </cell>
          <cell r="M80">
            <v>350</v>
          </cell>
          <cell r="N80">
            <v>350</v>
          </cell>
        </row>
        <row r="81">
          <cell r="B81" t="str">
            <v>Upgrade cabinetry handles - (Catergory 2)</v>
          </cell>
          <cell r="L81">
            <v>150</v>
          </cell>
          <cell r="M81">
            <v>150</v>
          </cell>
          <cell r="N81">
            <v>150</v>
          </cell>
        </row>
        <row r="82">
          <cell r="B82" t="str">
            <v xml:space="preserve">20mm Stone benchtops- Standard </v>
          </cell>
          <cell r="L82">
            <v>2980</v>
          </cell>
          <cell r="M82">
            <v>2980</v>
          </cell>
          <cell r="N82">
            <v>2980</v>
          </cell>
        </row>
        <row r="83">
          <cell r="B83" t="str">
            <v>20mm Stone benchtops - The Entertainers Kitchen</v>
          </cell>
          <cell r="L83">
            <v>3650</v>
          </cell>
          <cell r="M83">
            <v>3650</v>
          </cell>
          <cell r="N83">
            <v>3650</v>
          </cell>
        </row>
        <row r="84">
          <cell r="B84" t="str">
            <v>20mm Stone benchtops - The Modern Chef Kitchen</v>
          </cell>
          <cell r="L84">
            <v>4175</v>
          </cell>
          <cell r="M84">
            <v>4175</v>
          </cell>
          <cell r="N84">
            <v>4175</v>
          </cell>
        </row>
        <row r="85">
          <cell r="B85" t="str">
            <v>20mm Stone waterfall ends</v>
          </cell>
          <cell r="L85">
            <v>1480</v>
          </cell>
          <cell r="M85">
            <v>1480</v>
          </cell>
          <cell r="N85">
            <v>1480</v>
          </cell>
        </row>
        <row r="86">
          <cell r="B86" t="str">
            <v xml:space="preserve">40mm Stone benchtops- Standard </v>
          </cell>
          <cell r="L86">
            <v>3800</v>
          </cell>
          <cell r="M86">
            <v>3800</v>
          </cell>
          <cell r="N86">
            <v>3800</v>
          </cell>
        </row>
        <row r="87">
          <cell r="B87" t="str">
            <v>40mm Stone benchtops- The Entertainers Kitchen</v>
          </cell>
          <cell r="L87">
            <v>4660</v>
          </cell>
          <cell r="M87">
            <v>4660</v>
          </cell>
          <cell r="N87">
            <v>4660</v>
          </cell>
        </row>
        <row r="88">
          <cell r="B88" t="str">
            <v>40mm Stone benchtops - The Modern Chef Kitchen</v>
          </cell>
          <cell r="L88">
            <v>5360</v>
          </cell>
          <cell r="M88">
            <v>5360</v>
          </cell>
          <cell r="N88">
            <v>5360</v>
          </cell>
        </row>
        <row r="89">
          <cell r="B89" t="str">
            <v>40mm Stone waterfall ends</v>
          </cell>
          <cell r="L89">
            <v>1720</v>
          </cell>
          <cell r="M89">
            <v>1720</v>
          </cell>
          <cell r="N89">
            <v>1720</v>
          </cell>
        </row>
        <row r="90">
          <cell r="B90" t="str">
            <v>Double bowl sink</v>
          </cell>
          <cell r="L90">
            <v>350</v>
          </cell>
          <cell r="M90">
            <v>350</v>
          </cell>
          <cell r="N90">
            <v>350</v>
          </cell>
        </row>
        <row r="91">
          <cell r="B91" t="str">
            <v>Upgrade vegie kitchen mixer in chrome</v>
          </cell>
          <cell r="L91">
            <v>120</v>
          </cell>
          <cell r="M91">
            <v>120</v>
          </cell>
          <cell r="N91">
            <v>120</v>
          </cell>
        </row>
        <row r="92">
          <cell r="B92" t="str">
            <v>Upgrade vegie kitchen mixer in black</v>
          </cell>
          <cell r="L92">
            <v>130</v>
          </cell>
          <cell r="M92">
            <v>130</v>
          </cell>
          <cell r="N92">
            <v>130</v>
          </cell>
        </row>
        <row r="94">
          <cell r="B94" t="str">
            <v>20mm Stone benchtops</v>
          </cell>
          <cell r="L94">
            <v>900</v>
          </cell>
          <cell r="M94">
            <v>900</v>
          </cell>
          <cell r="N94">
            <v>900</v>
          </cell>
        </row>
        <row r="95">
          <cell r="B95" t="str">
            <v>Dual shower heads</v>
          </cell>
          <cell r="L95">
            <v>440</v>
          </cell>
          <cell r="M95">
            <v>440</v>
          </cell>
          <cell r="N95">
            <v>440</v>
          </cell>
        </row>
        <row r="96">
          <cell r="B96" t="str">
            <v>Additional towel rails</v>
          </cell>
          <cell r="L96">
            <v>160</v>
          </cell>
          <cell r="M96">
            <v>160</v>
          </cell>
          <cell r="N96">
            <v>160</v>
          </cell>
        </row>
        <row r="97">
          <cell r="B97" t="str">
            <v>Upgrade tapware and accessories to Winton in chrome</v>
          </cell>
          <cell r="L97">
            <v>630</v>
          </cell>
          <cell r="M97">
            <v>630</v>
          </cell>
          <cell r="N97">
            <v>630</v>
          </cell>
        </row>
        <row r="98">
          <cell r="B98" t="str">
            <v>Upgrade tapware and accessories to Winton in black</v>
          </cell>
          <cell r="L98">
            <v>700</v>
          </cell>
          <cell r="M98">
            <v>700</v>
          </cell>
          <cell r="N98">
            <v>700</v>
          </cell>
        </row>
        <row r="99">
          <cell r="B99" t="str">
            <v>Upgrade vanity basins</v>
          </cell>
          <cell r="L99">
            <v>300</v>
          </cell>
          <cell r="M99">
            <v>300</v>
          </cell>
          <cell r="N99">
            <v>300</v>
          </cell>
        </row>
        <row r="100">
          <cell r="B100" t="str">
            <v>Upgrade cabinetry handles including laundry - (Catergory 2)</v>
          </cell>
          <cell r="L100">
            <v>105</v>
          </cell>
          <cell r="M100">
            <v>105</v>
          </cell>
          <cell r="N100">
            <v>105</v>
          </cell>
        </row>
        <row r="102">
          <cell r="B102" t="str">
            <v>1 x Additional split system - (3.5kw)</v>
          </cell>
          <cell r="L102">
            <v>3200</v>
          </cell>
          <cell r="M102">
            <v>3200</v>
          </cell>
          <cell r="N102">
            <v>3200</v>
          </cell>
        </row>
        <row r="103">
          <cell r="B103" t="str">
            <v>Upgrade to reverse cycle ducted system</v>
          </cell>
          <cell r="L103">
            <v>10900</v>
          </cell>
          <cell r="M103">
            <v>11200</v>
          </cell>
          <cell r="N103">
            <v>11200</v>
          </cell>
        </row>
        <row r="105">
          <cell r="B105" t="str">
            <v>Downlight Pack 1: Entry &amp; Family room</v>
          </cell>
          <cell r="L105">
            <v>1085</v>
          </cell>
          <cell r="M105">
            <v>1320</v>
          </cell>
          <cell r="N105">
            <v>1250</v>
          </cell>
        </row>
        <row r="106">
          <cell r="B106" t="str">
            <v>Downlight Pack 2: Whole home</v>
          </cell>
          <cell r="L106">
            <v>1990</v>
          </cell>
          <cell r="M106">
            <v>2150</v>
          </cell>
          <cell r="N106">
            <v>2400</v>
          </cell>
        </row>
        <row r="107">
          <cell r="B107" t="str">
            <v>External Pack 1: Downlights to porch &amp; front eave</v>
          </cell>
          <cell r="L107">
            <v>160</v>
          </cell>
          <cell r="M107">
            <v>160</v>
          </cell>
          <cell r="N107">
            <v>160</v>
          </cell>
        </row>
        <row r="108">
          <cell r="B108" t="str">
            <v>External Pack 2: 2 x Up/down lights, 2 downlights to outdoor living &amp; 2 floodlights</v>
          </cell>
          <cell r="L108">
            <v>1070</v>
          </cell>
          <cell r="M108">
            <v>1070</v>
          </cell>
          <cell r="N108">
            <v>1070</v>
          </cell>
        </row>
        <row r="109">
          <cell r="B109" t="str">
            <v>Pendant Pack: 3 Pendants to island bench</v>
          </cell>
          <cell r="L109">
            <v>1160</v>
          </cell>
          <cell r="M109">
            <v>1160</v>
          </cell>
          <cell r="N109">
            <v>1160</v>
          </cell>
        </row>
        <row r="110">
          <cell r="B110" t="str">
            <v>Fan Pack 1: Ceiling fans to all bedrooms</v>
          </cell>
          <cell r="L110">
            <v>1750</v>
          </cell>
          <cell r="M110">
            <v>2300</v>
          </cell>
          <cell r="N110">
            <v>2300</v>
          </cell>
        </row>
        <row r="111">
          <cell r="B111" t="str">
            <v>Fan Pack 2: Ceiling fans to living areas</v>
          </cell>
          <cell r="L111">
            <v>930</v>
          </cell>
          <cell r="M111">
            <v>930</v>
          </cell>
          <cell r="N111">
            <v>930</v>
          </cell>
        </row>
        <row r="112">
          <cell r="B112" t="str">
            <v>Fan Pack 3: Ceiling fan to outdoor living</v>
          </cell>
          <cell r="L112">
            <v>470</v>
          </cell>
          <cell r="M112">
            <v>470</v>
          </cell>
          <cell r="N112">
            <v>470</v>
          </cell>
        </row>
        <row r="113">
          <cell r="B113" t="str">
            <v>TV antenna</v>
          </cell>
          <cell r="L113">
            <v>590</v>
          </cell>
          <cell r="M113">
            <v>590</v>
          </cell>
          <cell r="N113">
            <v>590</v>
          </cell>
        </row>
        <row r="114">
          <cell r="B114" t="str">
            <v>TV Pack: 2 x TV points &amp; 2 x double powerpoints</v>
          </cell>
          <cell r="L114">
            <v>340</v>
          </cell>
          <cell r="M114">
            <v>340</v>
          </cell>
          <cell r="N114">
            <v>340</v>
          </cell>
        </row>
        <row r="115">
          <cell r="B115" t="str">
            <v>Powerpoint Pack 1: 5 x Double powerpoints</v>
          </cell>
          <cell r="L115">
            <v>430</v>
          </cell>
          <cell r="M115">
            <v>430</v>
          </cell>
          <cell r="N115">
            <v>430</v>
          </cell>
        </row>
        <row r="116">
          <cell r="B116" t="str">
            <v>Powerpoint Pack 2: 10 x Double powerpoints</v>
          </cell>
          <cell r="L116">
            <v>850</v>
          </cell>
          <cell r="M116">
            <v>850</v>
          </cell>
          <cell r="N116">
            <v>850</v>
          </cell>
        </row>
        <row r="118">
          <cell r="B118" t="str">
            <v>Upgrade carpet</v>
          </cell>
          <cell r="L118">
            <v>450</v>
          </cell>
          <cell r="M118">
            <v>450</v>
          </cell>
          <cell r="N118">
            <v>450</v>
          </cell>
        </row>
        <row r="119">
          <cell r="B119" t="str">
            <v>Upgrade tiles to wet area floor &amp; walls</v>
          </cell>
          <cell r="L119">
            <v>600</v>
          </cell>
          <cell r="M119">
            <v>600</v>
          </cell>
          <cell r="N119">
            <v>600</v>
          </cell>
        </row>
        <row r="120">
          <cell r="B120" t="str">
            <v>Upgrade tiles to main area floors</v>
          </cell>
          <cell r="L120">
            <v>1500</v>
          </cell>
          <cell r="M120">
            <v>1500</v>
          </cell>
          <cell r="N120">
            <v>1500</v>
          </cell>
        </row>
        <row r="121">
          <cell r="B121" t="str">
            <v>Upgrade tiles to kitchen &amp; laundry splashback</v>
          </cell>
          <cell r="L121">
            <v>300</v>
          </cell>
          <cell r="M121">
            <v>300</v>
          </cell>
          <cell r="N121">
            <v>300</v>
          </cell>
        </row>
        <row r="122">
          <cell r="B122" t="str">
            <v>Upgrade to vinyl - (Wet Area's to be Tiles)</v>
          </cell>
          <cell r="L122">
            <v>3500</v>
          </cell>
          <cell r="M122">
            <v>4200</v>
          </cell>
          <cell r="N122">
            <v>4400</v>
          </cell>
        </row>
      </sheetData>
      <sheetData sheetId="2">
        <row r="6">
          <cell r="B6" t="str">
            <v>Extend garage by 500mm</v>
          </cell>
          <cell r="K6">
            <v>2500</v>
          </cell>
          <cell r="L6">
            <v>2500</v>
          </cell>
        </row>
        <row r="7">
          <cell r="B7" t="str">
            <v>Extend garage by 1000mm</v>
          </cell>
          <cell r="K7">
            <v>5000</v>
          </cell>
          <cell r="L7">
            <v>5000</v>
          </cell>
        </row>
        <row r="8">
          <cell r="B8" t="str">
            <v>Outdoor Living - addition 1</v>
          </cell>
          <cell r="K8">
            <v>4350</v>
          </cell>
          <cell r="L8">
            <v>4350</v>
          </cell>
        </row>
        <row r="9">
          <cell r="B9" t="str">
            <v>Outdoor Living - brick pier in lieu of steel post</v>
          </cell>
          <cell r="K9">
            <v>400</v>
          </cell>
          <cell r="L9">
            <v>800</v>
          </cell>
        </row>
        <row r="10">
          <cell r="B10" t="str">
            <v xml:space="preserve">Additional concrete - outdoor living </v>
          </cell>
          <cell r="K10">
            <v>1260</v>
          </cell>
          <cell r="L10">
            <v>1260</v>
          </cell>
        </row>
        <row r="11">
          <cell r="B11" t="str">
            <v>Outdoor Living - addition 2</v>
          </cell>
          <cell r="K11">
            <v>7100</v>
          </cell>
          <cell r="L11">
            <v>7100</v>
          </cell>
        </row>
        <row r="12">
          <cell r="B12" t="str">
            <v>Outdoor Living - brick pier in lieu of steel post</v>
          </cell>
          <cell r="K12">
            <v>400</v>
          </cell>
          <cell r="L12">
            <v>800</v>
          </cell>
        </row>
        <row r="13">
          <cell r="B13" t="str">
            <v xml:space="preserve">Additional concrete- Outdoor living </v>
          </cell>
          <cell r="K13">
            <v>1960</v>
          </cell>
          <cell r="L13">
            <v>1960</v>
          </cell>
        </row>
        <row r="14">
          <cell r="B14" t="str">
            <v>Kitchen - Upgrade 1 - The Entertainers Kitchen</v>
          </cell>
          <cell r="K14">
            <v>980</v>
          </cell>
          <cell r="L14">
            <v>980</v>
          </cell>
        </row>
        <row r="15">
          <cell r="B15" t="str">
            <v>Kitchen - Upgrade 2 - The Modern Chef Kitchen</v>
          </cell>
          <cell r="K15">
            <v>2850</v>
          </cell>
          <cell r="L15">
            <v>2850</v>
          </cell>
        </row>
        <row r="16">
          <cell r="B16" t="str">
            <v>Ensuite - Upgrade 1 - The Signature Ensuite</v>
          </cell>
          <cell r="K16">
            <v>600</v>
          </cell>
          <cell r="L16">
            <v>600</v>
          </cell>
        </row>
        <row r="17">
          <cell r="B17" t="str">
            <v>Ensuite - Upgrade 2 - The Indulgence Ensuite</v>
          </cell>
          <cell r="K17">
            <v>2780</v>
          </cell>
          <cell r="L17">
            <v>2780</v>
          </cell>
        </row>
        <row r="19">
          <cell r="B19" t="str">
            <v>1 The Retreat Façade</v>
          </cell>
          <cell r="K19">
            <v>3300</v>
          </cell>
          <cell r="L19">
            <v>3300</v>
          </cell>
        </row>
        <row r="20">
          <cell r="B20" t="str">
            <v>2 The Rise Façade</v>
          </cell>
          <cell r="K20">
            <v>7300</v>
          </cell>
          <cell r="L20">
            <v>7300</v>
          </cell>
        </row>
        <row r="21">
          <cell r="B21" t="str">
            <v>3 The Escape Façade</v>
          </cell>
          <cell r="K21">
            <v>8950</v>
          </cell>
          <cell r="L21">
            <v>8950</v>
          </cell>
        </row>
        <row r="22">
          <cell r="B22" t="str">
            <v>4 The Essence Façade</v>
          </cell>
          <cell r="K22">
            <v>6500</v>
          </cell>
          <cell r="L22">
            <v>6500</v>
          </cell>
        </row>
        <row r="23">
          <cell r="B23" t="str">
            <v>5 The Sanctuary Façade</v>
          </cell>
          <cell r="K23">
            <v>9050</v>
          </cell>
          <cell r="L23">
            <v>9050</v>
          </cell>
        </row>
        <row r="24">
          <cell r="B24" t="str">
            <v>6. The Summit Façade</v>
          </cell>
          <cell r="K24">
            <v>8500</v>
          </cell>
          <cell r="L24">
            <v>8500</v>
          </cell>
        </row>
        <row r="25">
          <cell r="B25" t="str">
            <v>7. The Haven Facade</v>
          </cell>
          <cell r="K25">
            <v>8500</v>
          </cell>
          <cell r="L25">
            <v>8500</v>
          </cell>
        </row>
        <row r="26">
          <cell r="B26" t="str">
            <v>9. The Horizon Façade</v>
          </cell>
          <cell r="K26">
            <v>10500</v>
          </cell>
          <cell r="L26">
            <v>10500</v>
          </cell>
        </row>
        <row r="29">
          <cell r="B29" t="str">
            <v>600mm overhead either side of rangehood</v>
          </cell>
          <cell r="K29">
            <v>990</v>
          </cell>
          <cell r="L29">
            <v>990</v>
          </cell>
        </row>
        <row r="30">
          <cell r="B30" t="str">
            <v>Overhead cupboards with integrated rangehood</v>
          </cell>
          <cell r="K30">
            <v>2120</v>
          </cell>
          <cell r="L30">
            <v>2120</v>
          </cell>
        </row>
        <row r="31">
          <cell r="B31" t="str">
            <v>Fridge overhead cupboard</v>
          </cell>
          <cell r="K31">
            <v>960</v>
          </cell>
          <cell r="L31">
            <v>960</v>
          </cell>
        </row>
        <row r="32">
          <cell r="K32">
            <v>330</v>
          </cell>
          <cell r="L32">
            <v>330</v>
          </cell>
        </row>
        <row r="33">
          <cell r="B33" t="str">
            <v>Microwave cavity with drawer below</v>
          </cell>
          <cell r="K33">
            <v>415</v>
          </cell>
          <cell r="L33">
            <v>415</v>
          </cell>
        </row>
        <row r="34">
          <cell r="B34" t="str">
            <v>Twin bin with drawer below</v>
          </cell>
          <cell r="K34">
            <v>250</v>
          </cell>
          <cell r="L34">
            <v>250</v>
          </cell>
        </row>
        <row r="35">
          <cell r="B35" t="str">
            <v xml:space="preserve">1212 No Bottom Reveal Window </v>
          </cell>
          <cell r="K35">
            <v>390</v>
          </cell>
          <cell r="L35">
            <v>390</v>
          </cell>
        </row>
        <row r="37">
          <cell r="B37" t="str">
            <v>Bank of 3 drawers to vanities</v>
          </cell>
          <cell r="K37">
            <v>660</v>
          </cell>
          <cell r="L37">
            <v>660</v>
          </cell>
        </row>
        <row r="38">
          <cell r="K38">
            <v>330</v>
          </cell>
          <cell r="L38">
            <v>330</v>
          </cell>
        </row>
        <row r="39">
          <cell r="K39">
            <v>280</v>
          </cell>
          <cell r="L39">
            <v>280</v>
          </cell>
        </row>
        <row r="40">
          <cell r="B40" t="str">
            <v>Tiled recess shelves</v>
          </cell>
          <cell r="K40">
            <v>800</v>
          </cell>
          <cell r="L40">
            <v>800</v>
          </cell>
        </row>
        <row r="41">
          <cell r="B41" t="str">
            <v>Extend tiles to 2.1m high on vanity wall</v>
          </cell>
          <cell r="K41">
            <v>500</v>
          </cell>
          <cell r="L41">
            <v>500</v>
          </cell>
        </row>
        <row r="42">
          <cell r="B42" t="str">
            <v>Extend tiles to 2.1m high on remaining three walls</v>
          </cell>
          <cell r="K42">
            <v>1800</v>
          </cell>
          <cell r="L42">
            <v>1800</v>
          </cell>
        </row>
        <row r="44">
          <cell r="B44" t="str">
            <v>1200mm Laminate benchtop &amp; cupboards</v>
          </cell>
          <cell r="K44">
            <v>1680</v>
          </cell>
          <cell r="L44">
            <v>1680</v>
          </cell>
        </row>
        <row r="45">
          <cell r="B45" t="str">
            <v>Extend laminate benchtop only by 900mm with powerpoint</v>
          </cell>
          <cell r="K45">
            <v>580</v>
          </cell>
          <cell r="L45">
            <v>580</v>
          </cell>
        </row>
        <row r="46">
          <cell r="B46" t="str">
            <v>1200mm Overhead cupboards</v>
          </cell>
          <cell r="K46">
            <v>1040</v>
          </cell>
          <cell r="L46">
            <v>1040</v>
          </cell>
        </row>
        <row r="47">
          <cell r="B47" t="str">
            <v>900mm Overhead cupboards</v>
          </cell>
          <cell r="K47">
            <v>765</v>
          </cell>
          <cell r="L47">
            <v>765</v>
          </cell>
        </row>
        <row r="48">
          <cell r="B48" t="str">
            <v>Hanging rail under overheads</v>
          </cell>
          <cell r="K48">
            <v>300</v>
          </cell>
          <cell r="L48">
            <v>300</v>
          </cell>
        </row>
        <row r="49">
          <cell r="B49" t="str">
            <v>Pullout laundry basket with drawer</v>
          </cell>
          <cell r="K49">
            <v>235</v>
          </cell>
          <cell r="L49">
            <v>235</v>
          </cell>
        </row>
        <row r="51">
          <cell r="B51" t="str">
            <v>Eaves to whole home</v>
          </cell>
          <cell r="K51">
            <v>3700</v>
          </cell>
          <cell r="L51">
            <v>4210</v>
          </cell>
        </row>
        <row r="52">
          <cell r="B52" t="str">
            <v>Add 2100h x 2400w roller door - (2550mm Cielings Required)</v>
          </cell>
          <cell r="K52">
            <v>1670</v>
          </cell>
          <cell r="L52">
            <v>1670</v>
          </cell>
        </row>
        <row r="53">
          <cell r="B53" t="str">
            <v>2550mm ceiling</v>
          </cell>
          <cell r="K53">
            <v>3100</v>
          </cell>
          <cell r="L53">
            <v>3700</v>
          </cell>
        </row>
        <row r="56">
          <cell r="B56" t="str">
            <v>Double glazing to whole home (please note: all windows will be awning)</v>
          </cell>
          <cell r="K56">
            <v>3200</v>
          </cell>
          <cell r="L56">
            <v>4200</v>
          </cell>
        </row>
        <row r="57">
          <cell r="B57" t="str">
            <v>Sliding door in lieu of swing</v>
          </cell>
          <cell r="K57">
            <v>200</v>
          </cell>
          <cell r="L57">
            <v>200</v>
          </cell>
        </row>
        <row r="58">
          <cell r="B58" t="str">
            <v>Wall mounted clothesline</v>
          </cell>
          <cell r="K58">
            <v>400</v>
          </cell>
          <cell r="L58">
            <v>400</v>
          </cell>
        </row>
        <row r="59">
          <cell r="B59" t="str">
            <v>Letterbox</v>
          </cell>
          <cell r="K59">
            <v>350</v>
          </cell>
          <cell r="L59">
            <v>350</v>
          </cell>
        </row>
        <row r="60">
          <cell r="B60" t="str">
            <v>Newington front door</v>
          </cell>
          <cell r="K60">
            <v>300</v>
          </cell>
          <cell r="L60">
            <v>300</v>
          </cell>
        </row>
        <row r="61">
          <cell r="B61" t="str">
            <v>Nexion front door handle</v>
          </cell>
          <cell r="K61">
            <v>175</v>
          </cell>
          <cell r="L61">
            <v>175</v>
          </cell>
        </row>
        <row r="62">
          <cell r="B62" t="str">
            <v>Brick Upgrade</v>
          </cell>
          <cell r="K62">
            <v>720</v>
          </cell>
          <cell r="L62">
            <v>720</v>
          </cell>
        </row>
        <row r="64">
          <cell r="B64" t="str">
            <v>Internal door pack - WIR &amp; rear hallway</v>
          </cell>
          <cell r="K64">
            <v>440</v>
          </cell>
          <cell r="L64">
            <v>440</v>
          </cell>
        </row>
        <row r="65">
          <cell r="B65" t="str">
            <v>2340mm high internal doors &amp; robe/linen doors - (2550mm Cielings Required)</v>
          </cell>
          <cell r="K65">
            <v>1100</v>
          </cell>
          <cell r="L65">
            <v>1300</v>
          </cell>
        </row>
        <row r="66">
          <cell r="B66" t="str">
            <v>Single roller blinds</v>
          </cell>
          <cell r="K66">
            <v>1770</v>
          </cell>
          <cell r="L66">
            <v>2500</v>
          </cell>
        </row>
        <row r="68">
          <cell r="K68">
            <v>50</v>
          </cell>
          <cell r="L68">
            <v>50</v>
          </cell>
        </row>
        <row r="69">
          <cell r="K69">
            <v>185</v>
          </cell>
          <cell r="L69">
            <v>185</v>
          </cell>
        </row>
        <row r="70">
          <cell r="K70">
            <v>510</v>
          </cell>
          <cell r="L70">
            <v>510</v>
          </cell>
        </row>
        <row r="72">
          <cell r="B72" t="str">
            <v>600mm stainless steel oven &amp; canopy rangehood and electric cooktop</v>
          </cell>
          <cell r="K72">
            <v>365</v>
          </cell>
          <cell r="L72">
            <v>365</v>
          </cell>
        </row>
        <row r="73">
          <cell r="B73" t="str">
            <v>900mm black inbuilt oven, cooktop &amp; canopy rangehood</v>
          </cell>
          <cell r="K73">
            <v>1870</v>
          </cell>
          <cell r="L73">
            <v>1870</v>
          </cell>
        </row>
        <row r="74">
          <cell r="B74" t="str">
            <v>900mm stainless steel inbuilt oven, cooktop &amp; canopy rangehood</v>
          </cell>
          <cell r="K74">
            <v>1860</v>
          </cell>
          <cell r="L74">
            <v>1860</v>
          </cell>
        </row>
        <row r="75">
          <cell r="B75" t="str">
            <v>900mm black undermount rangehood in lieu of canopy</v>
          </cell>
          <cell r="K75">
            <v>800</v>
          </cell>
          <cell r="L75">
            <v>800</v>
          </cell>
        </row>
        <row r="76">
          <cell r="B76" t="str">
            <v>900mm stainless steel undermount rangehood in lieu of canopy</v>
          </cell>
          <cell r="K76">
            <v>770</v>
          </cell>
          <cell r="L76">
            <v>770</v>
          </cell>
        </row>
        <row r="77">
          <cell r="B77" t="str">
            <v>Stainless steel dishwasher</v>
          </cell>
          <cell r="K77">
            <v>700</v>
          </cell>
          <cell r="L77">
            <v>700</v>
          </cell>
        </row>
        <row r="78">
          <cell r="B78" t="str">
            <v>Black dishwasher</v>
          </cell>
          <cell r="K78">
            <v>750</v>
          </cell>
          <cell r="L78">
            <v>750</v>
          </cell>
        </row>
        <row r="79">
          <cell r="B79" t="str">
            <v>Cold water point for fridge</v>
          </cell>
          <cell r="K79">
            <v>200</v>
          </cell>
          <cell r="L79">
            <v>200</v>
          </cell>
        </row>
        <row r="80">
          <cell r="K80">
            <v>350</v>
          </cell>
          <cell r="L80">
            <v>350</v>
          </cell>
        </row>
        <row r="81">
          <cell r="B81" t="str">
            <v xml:space="preserve">20mm Stone benchtops- Standard </v>
          </cell>
          <cell r="K81">
            <v>3230</v>
          </cell>
          <cell r="L81">
            <v>3230</v>
          </cell>
        </row>
        <row r="82">
          <cell r="B82" t="str">
            <v>20mm Stone benchtops - The Entertainers Kitchen</v>
          </cell>
          <cell r="K82">
            <v>3530</v>
          </cell>
          <cell r="L82">
            <v>3530</v>
          </cell>
        </row>
        <row r="83">
          <cell r="B83" t="str">
            <v>20mm Stone benchtops - The Modern Chefs Kitchen</v>
          </cell>
          <cell r="K83">
            <v>3850</v>
          </cell>
          <cell r="L83">
            <v>3850</v>
          </cell>
        </row>
        <row r="84">
          <cell r="B84" t="str">
            <v>20mm Stone waterfall ends</v>
          </cell>
          <cell r="K84">
            <v>1480</v>
          </cell>
          <cell r="L84">
            <v>1480</v>
          </cell>
        </row>
        <row r="85">
          <cell r="B85" t="str">
            <v xml:space="preserve">40mm Stone benchtops- Standard </v>
          </cell>
          <cell r="K85">
            <v>4130</v>
          </cell>
          <cell r="L85">
            <v>4130</v>
          </cell>
        </row>
        <row r="86">
          <cell r="B86" t="str">
            <v>40mm Stone benchtops- The Entertainers Kitchen</v>
          </cell>
          <cell r="K86">
            <v>4520</v>
          </cell>
          <cell r="L86">
            <v>4520</v>
          </cell>
        </row>
        <row r="87">
          <cell r="B87" t="str">
            <v>40mm Stone benchtops - The Modern Chefs Kitchen</v>
          </cell>
          <cell r="K87">
            <v>4980</v>
          </cell>
          <cell r="L87">
            <v>4980</v>
          </cell>
        </row>
        <row r="88">
          <cell r="B88" t="str">
            <v>40mm Stone waterfall ends</v>
          </cell>
          <cell r="K88">
            <v>1720</v>
          </cell>
          <cell r="L88">
            <v>1720</v>
          </cell>
        </row>
        <row r="89">
          <cell r="B89" t="str">
            <v>Double bowl sink</v>
          </cell>
          <cell r="K89">
            <v>350</v>
          </cell>
          <cell r="L89">
            <v>350</v>
          </cell>
        </row>
        <row r="90">
          <cell r="B90" t="str">
            <v>Upgrade vegie kitchen mixer in chrome</v>
          </cell>
          <cell r="K90">
            <v>120</v>
          </cell>
          <cell r="L90">
            <v>120</v>
          </cell>
        </row>
        <row r="91">
          <cell r="B91" t="str">
            <v>Upgrade vegie kitchen mixer in black</v>
          </cell>
          <cell r="K91">
            <v>130</v>
          </cell>
          <cell r="L91">
            <v>130</v>
          </cell>
        </row>
        <row r="92">
          <cell r="B92" t="str">
            <v>Upgrade cabinetry handles</v>
          </cell>
          <cell r="K92">
            <v>120</v>
          </cell>
          <cell r="L92">
            <v>120</v>
          </cell>
        </row>
        <row r="94">
          <cell r="B94" t="str">
            <v>20mm Stone benchtops</v>
          </cell>
          <cell r="K94">
            <v>900</v>
          </cell>
          <cell r="L94">
            <v>900</v>
          </cell>
        </row>
        <row r="95">
          <cell r="B95" t="str">
            <v>Dual shower heads</v>
          </cell>
          <cell r="K95">
            <v>440</v>
          </cell>
          <cell r="L95">
            <v>440</v>
          </cell>
        </row>
        <row r="96">
          <cell r="B96" t="str">
            <v>Additional towel rails</v>
          </cell>
          <cell r="K96">
            <v>160</v>
          </cell>
          <cell r="L96">
            <v>160</v>
          </cell>
        </row>
        <row r="97">
          <cell r="B97" t="str">
            <v>Upgrade tapware and accessories to Winton in chrome</v>
          </cell>
          <cell r="K97">
            <v>630</v>
          </cell>
          <cell r="L97">
            <v>630</v>
          </cell>
        </row>
        <row r="98">
          <cell r="B98" t="str">
            <v>Upgrade tapware and accessories to Winton in black</v>
          </cell>
          <cell r="K98">
            <v>700</v>
          </cell>
          <cell r="L98">
            <v>700</v>
          </cell>
        </row>
        <row r="99">
          <cell r="B99" t="str">
            <v>Upgrade vanity basins</v>
          </cell>
          <cell r="K99">
            <v>300</v>
          </cell>
          <cell r="L99">
            <v>300</v>
          </cell>
        </row>
        <row r="100">
          <cell r="B100" t="str">
            <v>Upgrade cabinetry handles including laundry</v>
          </cell>
          <cell r="K100">
            <v>105</v>
          </cell>
          <cell r="L100">
            <v>105</v>
          </cell>
        </row>
        <row r="102">
          <cell r="B102" t="str">
            <v>1 x Additional split system - (3.5kw)</v>
          </cell>
          <cell r="K102">
            <v>3200</v>
          </cell>
          <cell r="L102">
            <v>3200</v>
          </cell>
        </row>
        <row r="103">
          <cell r="B103" t="str">
            <v>Upgrade to reverse cycle ducted system</v>
          </cell>
          <cell r="K103">
            <v>10900</v>
          </cell>
          <cell r="L103">
            <v>11200</v>
          </cell>
        </row>
        <row r="105">
          <cell r="B105" t="str">
            <v>Downlight Pack 1: Entry &amp; Family room</v>
          </cell>
          <cell r="K105">
            <v>930</v>
          </cell>
          <cell r="L105">
            <v>1125</v>
          </cell>
        </row>
        <row r="106">
          <cell r="B106" t="str">
            <v>Downlight Pack 2: Whole home</v>
          </cell>
          <cell r="K106">
            <v>1520</v>
          </cell>
          <cell r="L106">
            <v>1755</v>
          </cell>
        </row>
        <row r="107">
          <cell r="B107" t="str">
            <v>External Pack 1: Downlights to porch &amp; front eave</v>
          </cell>
          <cell r="K107">
            <v>160</v>
          </cell>
          <cell r="L107">
            <v>160</v>
          </cell>
        </row>
        <row r="108">
          <cell r="B108" t="str">
            <v>External Pack 2: 2 x Up/down lights, 2 downlights to outdoor living &amp; 2 floodlights</v>
          </cell>
          <cell r="K108">
            <v>1070</v>
          </cell>
          <cell r="L108">
            <v>1070</v>
          </cell>
        </row>
        <row r="109">
          <cell r="B109" t="str">
            <v>Pendant Pack: 3 Pendants to island bench</v>
          </cell>
          <cell r="K109">
            <v>1160</v>
          </cell>
          <cell r="L109">
            <v>1160</v>
          </cell>
        </row>
        <row r="110">
          <cell r="B110" t="str">
            <v>Fan Pack 1: Ceiling fans to all bedrooms</v>
          </cell>
          <cell r="K110">
            <v>1730</v>
          </cell>
          <cell r="L110">
            <v>2300</v>
          </cell>
        </row>
        <row r="111">
          <cell r="B111" t="str">
            <v>Fan Pack 2: Ceiling fans to living areas</v>
          </cell>
          <cell r="K111">
            <v>930</v>
          </cell>
          <cell r="L111">
            <v>930</v>
          </cell>
        </row>
        <row r="112">
          <cell r="B112" t="str">
            <v>Fan Pack 3: Ceiling fan to outdoor living</v>
          </cell>
          <cell r="K112">
            <v>470</v>
          </cell>
          <cell r="L112">
            <v>470</v>
          </cell>
        </row>
        <row r="113">
          <cell r="B113" t="str">
            <v>TV antenna</v>
          </cell>
          <cell r="K113">
            <v>590</v>
          </cell>
          <cell r="L113">
            <v>590</v>
          </cell>
        </row>
        <row r="114">
          <cell r="B114" t="str">
            <v>TV Pack: 2 x TV points &amp; 2 x double powerpoints</v>
          </cell>
          <cell r="K114">
            <v>340</v>
          </cell>
          <cell r="L114">
            <v>340</v>
          </cell>
        </row>
        <row r="115">
          <cell r="B115" t="str">
            <v>Powerpoint Pack 1: 5 x Double powerpoints</v>
          </cell>
          <cell r="K115">
            <v>430</v>
          </cell>
          <cell r="L115">
            <v>430</v>
          </cell>
        </row>
        <row r="116">
          <cell r="B116" t="str">
            <v>Powerpoint Pack 2: 10 x Double powerpoints</v>
          </cell>
          <cell r="K116">
            <v>850</v>
          </cell>
          <cell r="L116">
            <v>850</v>
          </cell>
        </row>
        <row r="118">
          <cell r="B118" t="str">
            <v>Upgrade carpet</v>
          </cell>
          <cell r="K118">
            <v>450</v>
          </cell>
          <cell r="L118">
            <v>450</v>
          </cell>
        </row>
        <row r="119">
          <cell r="B119" t="str">
            <v>Upgrade tiles to wet area floor &amp; walls</v>
          </cell>
          <cell r="K119">
            <v>600</v>
          </cell>
          <cell r="L119">
            <v>600</v>
          </cell>
        </row>
        <row r="120">
          <cell r="B120" t="str">
            <v>Upgrade tiles to main area floors</v>
          </cell>
          <cell r="K120">
            <v>1500</v>
          </cell>
          <cell r="L120">
            <v>1500</v>
          </cell>
        </row>
        <row r="121">
          <cell r="B121" t="str">
            <v>Upgrade tiles to kitchen &amp; laundry splashback</v>
          </cell>
          <cell r="K121">
            <v>300</v>
          </cell>
          <cell r="L121">
            <v>300</v>
          </cell>
        </row>
        <row r="122">
          <cell r="B122" t="str">
            <v>Upgrade to vinyl</v>
          </cell>
          <cell r="K122">
            <v>2700</v>
          </cell>
          <cell r="L122">
            <v>4200</v>
          </cell>
        </row>
      </sheetData>
      <sheetData sheetId="3">
        <row r="6">
          <cell r="B6" t="str">
            <v>Extend garage by 500mm</v>
          </cell>
          <cell r="L6">
            <v>2500</v>
          </cell>
          <cell r="M6">
            <v>2500</v>
          </cell>
          <cell r="N6">
            <v>2500</v>
          </cell>
        </row>
        <row r="7">
          <cell r="B7" t="str">
            <v>Extend garage by 1000mm</v>
          </cell>
          <cell r="L7">
            <v>5000</v>
          </cell>
          <cell r="M7">
            <v>5000</v>
          </cell>
          <cell r="N7">
            <v>5000</v>
          </cell>
        </row>
        <row r="8">
          <cell r="B8" t="str">
            <v>Outdoor Living - addition 1</v>
          </cell>
          <cell r="L8">
            <v>5900</v>
          </cell>
          <cell r="M8">
            <v>5900</v>
          </cell>
          <cell r="N8">
            <v>5900</v>
          </cell>
        </row>
        <row r="9">
          <cell r="B9" t="str">
            <v>Outdoor Living - brick pier in lieu of steel post</v>
          </cell>
          <cell r="L9">
            <v>800</v>
          </cell>
          <cell r="M9">
            <v>800</v>
          </cell>
          <cell r="N9">
            <v>800</v>
          </cell>
        </row>
        <row r="10">
          <cell r="B10" t="str">
            <v xml:space="preserve">Additional concrete - outdoor living </v>
          </cell>
          <cell r="L10">
            <v>1260</v>
          </cell>
          <cell r="M10">
            <v>1260</v>
          </cell>
          <cell r="N10">
            <v>1260</v>
          </cell>
        </row>
        <row r="11">
          <cell r="B11" t="str">
            <v>Outdoor Living - addition 2</v>
          </cell>
          <cell r="L11">
            <v>8100</v>
          </cell>
          <cell r="M11">
            <v>8100</v>
          </cell>
          <cell r="N11">
            <v>8100</v>
          </cell>
        </row>
        <row r="12">
          <cell r="B12" t="str">
            <v>Outdoor Living - brick pier in lieu of steel post</v>
          </cell>
          <cell r="L12">
            <v>800</v>
          </cell>
          <cell r="M12">
            <v>800</v>
          </cell>
          <cell r="N12">
            <v>800</v>
          </cell>
        </row>
        <row r="13">
          <cell r="B13" t="str">
            <v xml:space="preserve">Additional concrete- Outdoor living </v>
          </cell>
          <cell r="L13">
            <v>2100</v>
          </cell>
          <cell r="M13">
            <v>2100</v>
          </cell>
          <cell r="N13">
            <v>2100</v>
          </cell>
        </row>
        <row r="14">
          <cell r="B14" t="str">
            <v>Kitchen - The Everyday Kitchen</v>
          </cell>
          <cell r="L14">
            <v>2400</v>
          </cell>
          <cell r="M14">
            <v>2400</v>
          </cell>
          <cell r="N14">
            <v>2400</v>
          </cell>
        </row>
        <row r="15">
          <cell r="B15" t="str">
            <v>Kitchen - The Modern Chef Kitchen</v>
          </cell>
          <cell r="L15">
            <v>5400</v>
          </cell>
          <cell r="M15">
            <v>5400</v>
          </cell>
          <cell r="N15">
            <v>5400</v>
          </cell>
        </row>
        <row r="16">
          <cell r="B16" t="str">
            <v>Ensuite - The Signature Ensuite</v>
          </cell>
          <cell r="L16">
            <v>650</v>
          </cell>
          <cell r="M16">
            <v>650</v>
          </cell>
          <cell r="N16">
            <v>650</v>
          </cell>
        </row>
        <row r="17">
          <cell r="B17" t="str">
            <v>Ensuite - The Indulgence Ensuite</v>
          </cell>
          <cell r="L17">
            <v>3500</v>
          </cell>
          <cell r="M17">
            <v>3500</v>
          </cell>
          <cell r="N17">
            <v>3500</v>
          </cell>
        </row>
        <row r="18">
          <cell r="B18" t="str">
            <v>The Premier Meals</v>
          </cell>
          <cell r="L18">
            <v>12120</v>
          </cell>
          <cell r="M18">
            <v>12120</v>
          </cell>
          <cell r="N18">
            <v>12120</v>
          </cell>
        </row>
        <row r="20">
          <cell r="B20" t="str">
            <v>Bed 1 extension - The Grand Suite</v>
          </cell>
          <cell r="N20">
            <v>1950</v>
          </cell>
        </row>
        <row r="21">
          <cell r="B21" t="str">
            <v>Ensuite 2 &amp; built in robe to Bed 2 - The Guest Ensuite</v>
          </cell>
          <cell r="N21">
            <v>9950</v>
          </cell>
        </row>
        <row r="22">
          <cell r="B22" t="str">
            <v>1200mm shower to ensuite 2</v>
          </cell>
          <cell r="N22">
            <v>235</v>
          </cell>
        </row>
        <row r="24">
          <cell r="B24" t="str">
            <v>The Rise Façade</v>
          </cell>
          <cell r="L24">
            <v>6270</v>
          </cell>
          <cell r="M24">
            <v>6270</v>
          </cell>
          <cell r="N24">
            <v>6270</v>
          </cell>
        </row>
        <row r="25">
          <cell r="B25" t="str">
            <v>The Crest Façade</v>
          </cell>
          <cell r="L25">
            <v>9200</v>
          </cell>
          <cell r="M25">
            <v>9200</v>
          </cell>
          <cell r="N25">
            <v>9200</v>
          </cell>
        </row>
        <row r="26">
          <cell r="B26" t="str">
            <v>The Sanctuary Façade</v>
          </cell>
          <cell r="L26">
            <v>9950</v>
          </cell>
          <cell r="M26">
            <v>9950</v>
          </cell>
          <cell r="N26">
            <v>9950</v>
          </cell>
        </row>
        <row r="27">
          <cell r="B27" t="str">
            <v>The Meadow Façade</v>
          </cell>
          <cell r="L27">
            <v>12980</v>
          </cell>
          <cell r="M27">
            <v>15370</v>
          </cell>
          <cell r="N27">
            <v>16970</v>
          </cell>
        </row>
        <row r="28">
          <cell r="B28" t="str">
            <v xml:space="preserve">Double Posts </v>
          </cell>
          <cell r="L28">
            <v>2430</v>
          </cell>
          <cell r="M28">
            <v>2835</v>
          </cell>
          <cell r="N28">
            <v>3240</v>
          </cell>
        </row>
        <row r="29">
          <cell r="B29" t="str">
            <v>Double Posts &amp; 1/2 Bricks Piers</v>
          </cell>
          <cell r="L29">
            <v>7460</v>
          </cell>
          <cell r="M29">
            <v>8660</v>
          </cell>
          <cell r="N29">
            <v>9730</v>
          </cell>
        </row>
        <row r="32">
          <cell r="B32" t="str">
            <v>600mm overhead either side of rangehood</v>
          </cell>
          <cell r="L32">
            <v>990</v>
          </cell>
          <cell r="M32">
            <v>990</v>
          </cell>
          <cell r="N32">
            <v>990</v>
          </cell>
        </row>
        <row r="33">
          <cell r="B33" t="str">
            <v>Overhead cupboards with integrated rangehood</v>
          </cell>
          <cell r="L33">
            <v>1860</v>
          </cell>
          <cell r="M33">
            <v>1860</v>
          </cell>
          <cell r="N33">
            <v>1860</v>
          </cell>
        </row>
        <row r="34">
          <cell r="B34" t="str">
            <v>Fridge overhead cupboard</v>
          </cell>
          <cell r="L34">
            <v>960</v>
          </cell>
          <cell r="M34">
            <v>960</v>
          </cell>
          <cell r="N34">
            <v>960</v>
          </cell>
        </row>
        <row r="35">
          <cell r="L35">
            <v>330</v>
          </cell>
          <cell r="M35">
            <v>330</v>
          </cell>
          <cell r="N35">
            <v>330</v>
          </cell>
        </row>
        <row r="36">
          <cell r="B36" t="str">
            <v>Microwave cavity with drawer below</v>
          </cell>
          <cell r="L36">
            <v>415</v>
          </cell>
          <cell r="M36">
            <v>415</v>
          </cell>
          <cell r="N36">
            <v>415</v>
          </cell>
        </row>
        <row r="37">
          <cell r="B37" t="str">
            <v>Twin bin with drawer below</v>
          </cell>
          <cell r="L37">
            <v>250</v>
          </cell>
          <cell r="M37">
            <v>250</v>
          </cell>
          <cell r="N37">
            <v>250</v>
          </cell>
        </row>
        <row r="38">
          <cell r="B38" t="str">
            <v xml:space="preserve">1212 No Bottom Reveal Window </v>
          </cell>
          <cell r="L38">
            <v>390</v>
          </cell>
          <cell r="M38">
            <v>390</v>
          </cell>
          <cell r="N38">
            <v>390</v>
          </cell>
        </row>
        <row r="40">
          <cell r="B40" t="str">
            <v>Bank of 3 drawers to vanities</v>
          </cell>
          <cell r="L40">
            <v>660</v>
          </cell>
          <cell r="M40">
            <v>660</v>
          </cell>
          <cell r="N40">
            <v>660</v>
          </cell>
        </row>
        <row r="41">
          <cell r="L41">
            <v>330</v>
          </cell>
          <cell r="M41">
            <v>330</v>
          </cell>
          <cell r="N41">
            <v>330</v>
          </cell>
        </row>
        <row r="42">
          <cell r="L42">
            <v>280</v>
          </cell>
          <cell r="M42">
            <v>280</v>
          </cell>
          <cell r="N42">
            <v>280</v>
          </cell>
        </row>
        <row r="43">
          <cell r="B43" t="str">
            <v>Tiled recess shelves</v>
          </cell>
          <cell r="L43">
            <v>800</v>
          </cell>
          <cell r="M43">
            <v>800</v>
          </cell>
          <cell r="N43">
            <v>800</v>
          </cell>
        </row>
        <row r="44">
          <cell r="B44" t="str">
            <v>Extend tiles to 2m high on vanity wall</v>
          </cell>
          <cell r="L44">
            <v>500</v>
          </cell>
          <cell r="M44">
            <v>500</v>
          </cell>
          <cell r="N44">
            <v>1000</v>
          </cell>
        </row>
        <row r="45">
          <cell r="B45" t="str">
            <v>Extend tiles to 2m high on remaining three walls</v>
          </cell>
          <cell r="L45">
            <v>2000</v>
          </cell>
          <cell r="M45">
            <v>2000</v>
          </cell>
          <cell r="N45">
            <v>2680</v>
          </cell>
        </row>
        <row r="47">
          <cell r="B47" t="str">
            <v>1200mm Laminate benchtop &amp; cupboards</v>
          </cell>
          <cell r="L47">
            <v>1680</v>
          </cell>
          <cell r="M47">
            <v>1680</v>
          </cell>
          <cell r="N47">
            <v>1680</v>
          </cell>
        </row>
        <row r="48">
          <cell r="B48" t="str">
            <v>Extend laminate benchtop only by 750mm with powerpoint</v>
          </cell>
          <cell r="L48">
            <v>525</v>
          </cell>
          <cell r="M48">
            <v>525</v>
          </cell>
          <cell r="N48">
            <v>525</v>
          </cell>
        </row>
        <row r="49">
          <cell r="B49" t="str">
            <v>1200mm Overhead cupboards</v>
          </cell>
          <cell r="L49">
            <v>1040</v>
          </cell>
          <cell r="M49">
            <v>1040</v>
          </cell>
          <cell r="N49">
            <v>1040</v>
          </cell>
        </row>
        <row r="50">
          <cell r="B50" t="str">
            <v>750mm Overhead cupboards</v>
          </cell>
          <cell r="L50">
            <v>765</v>
          </cell>
          <cell r="M50">
            <v>765</v>
          </cell>
          <cell r="N50">
            <v>765</v>
          </cell>
        </row>
        <row r="51">
          <cell r="B51" t="str">
            <v>Hanging rail under overheads</v>
          </cell>
          <cell r="L51">
            <v>300</v>
          </cell>
          <cell r="M51">
            <v>300</v>
          </cell>
          <cell r="N51">
            <v>300</v>
          </cell>
        </row>
        <row r="52">
          <cell r="B52" t="str">
            <v>Pullout laundry basket with drawer</v>
          </cell>
          <cell r="L52">
            <v>235</v>
          </cell>
          <cell r="M52">
            <v>235</v>
          </cell>
          <cell r="N52">
            <v>235</v>
          </cell>
        </row>
        <row r="54">
          <cell r="B54" t="str">
            <v>Eaves to whole home</v>
          </cell>
          <cell r="L54">
            <v>5100</v>
          </cell>
          <cell r="M54">
            <v>5600</v>
          </cell>
          <cell r="N54">
            <v>5950</v>
          </cell>
        </row>
        <row r="55">
          <cell r="B55" t="str">
            <v>2550mm ceiling</v>
          </cell>
          <cell r="L55">
            <v>3700</v>
          </cell>
          <cell r="M55">
            <v>4200</v>
          </cell>
          <cell r="N55">
            <v>4550</v>
          </cell>
        </row>
        <row r="56">
          <cell r="B56" t="str">
            <v>Add 2100h x 2400w roller door</v>
          </cell>
          <cell r="L56">
            <v>1670</v>
          </cell>
          <cell r="M56">
            <v>1670</v>
          </cell>
          <cell r="N56">
            <v>1670</v>
          </cell>
        </row>
        <row r="59">
          <cell r="B59" t="str">
            <v>Double glazing to whole home (please note: all windows will be awning)</v>
          </cell>
          <cell r="L59">
            <v>4500</v>
          </cell>
          <cell r="M59">
            <v>4950</v>
          </cell>
          <cell r="N59">
            <v>4850</v>
          </cell>
        </row>
        <row r="60">
          <cell r="B60" t="str">
            <v>Sliding door in lieu of swing</v>
          </cell>
          <cell r="L60">
            <v>200</v>
          </cell>
          <cell r="M60">
            <v>200</v>
          </cell>
          <cell r="N60">
            <v>200</v>
          </cell>
        </row>
        <row r="61">
          <cell r="B61" t="str">
            <v>Wall mounted clothesline</v>
          </cell>
          <cell r="L61">
            <v>400</v>
          </cell>
          <cell r="M61">
            <v>400</v>
          </cell>
          <cell r="N61">
            <v>400</v>
          </cell>
        </row>
        <row r="62">
          <cell r="B62" t="str">
            <v>Letterbox</v>
          </cell>
          <cell r="L62">
            <v>350</v>
          </cell>
          <cell r="M62">
            <v>350</v>
          </cell>
          <cell r="N62">
            <v>350</v>
          </cell>
        </row>
        <row r="63">
          <cell r="B63" t="str">
            <v>Newington front door</v>
          </cell>
          <cell r="L63">
            <v>300</v>
          </cell>
          <cell r="M63">
            <v>300</v>
          </cell>
          <cell r="N63">
            <v>300</v>
          </cell>
        </row>
        <row r="64">
          <cell r="B64" t="str">
            <v>Nexion front door handle</v>
          </cell>
          <cell r="L64">
            <v>175</v>
          </cell>
          <cell r="M64">
            <v>175</v>
          </cell>
          <cell r="N64">
            <v>175</v>
          </cell>
        </row>
        <row r="65">
          <cell r="B65" t="str">
            <v>Brick Upgrade</v>
          </cell>
          <cell r="L65">
            <v>720</v>
          </cell>
          <cell r="M65">
            <v>720</v>
          </cell>
          <cell r="N65">
            <v>720</v>
          </cell>
        </row>
        <row r="67">
          <cell r="B67" t="str">
            <v>Internal door - single doors each</v>
          </cell>
          <cell r="L67">
            <v>475</v>
          </cell>
          <cell r="M67">
            <v>475</v>
          </cell>
          <cell r="N67">
            <v>475</v>
          </cell>
        </row>
        <row r="68">
          <cell r="B68" t="str">
            <v>Internal door - double doors each</v>
          </cell>
          <cell r="L68">
            <v>1480</v>
          </cell>
          <cell r="M68">
            <v>1480</v>
          </cell>
          <cell r="N68">
            <v>1480</v>
          </cell>
        </row>
        <row r="69">
          <cell r="B69" t="str">
            <v>2340mm high internal doors &amp; robe/linen doors</v>
          </cell>
          <cell r="L69">
            <v>1450</v>
          </cell>
          <cell r="M69">
            <v>1470</v>
          </cell>
          <cell r="N69">
            <v>2150</v>
          </cell>
        </row>
        <row r="70">
          <cell r="B70" t="str">
            <v>Single roller blinds</v>
          </cell>
          <cell r="L70">
            <v>2700</v>
          </cell>
          <cell r="M70">
            <v>3000</v>
          </cell>
          <cell r="N70">
            <v>3150</v>
          </cell>
        </row>
        <row r="72">
          <cell r="L72">
            <v>50</v>
          </cell>
          <cell r="M72">
            <v>50</v>
          </cell>
          <cell r="N72">
            <v>50</v>
          </cell>
        </row>
        <row r="73">
          <cell r="L73">
            <v>185</v>
          </cell>
          <cell r="M73">
            <v>185</v>
          </cell>
          <cell r="N73">
            <v>185</v>
          </cell>
        </row>
        <row r="74">
          <cell r="L74">
            <v>510</v>
          </cell>
          <cell r="M74">
            <v>510</v>
          </cell>
          <cell r="N74">
            <v>510</v>
          </cell>
        </row>
        <row r="76">
          <cell r="B76" t="str">
            <v>600mm stainless steel oven &amp; canopy rangehood and electric cooktop</v>
          </cell>
          <cell r="L76">
            <v>365</v>
          </cell>
          <cell r="M76">
            <v>365</v>
          </cell>
          <cell r="N76">
            <v>365</v>
          </cell>
        </row>
        <row r="77">
          <cell r="B77" t="str">
            <v>900mm stainless steel inbuilt oven, cooktop &amp; canopy rangehood</v>
          </cell>
          <cell r="L77">
            <v>1860</v>
          </cell>
          <cell r="M77">
            <v>1860</v>
          </cell>
          <cell r="N77">
            <v>1860</v>
          </cell>
        </row>
        <row r="78">
          <cell r="B78" t="str">
            <v>900mm black inbuilt oven, cooktop &amp; canopy rangehood</v>
          </cell>
          <cell r="L78">
            <v>1870</v>
          </cell>
          <cell r="M78">
            <v>1870</v>
          </cell>
          <cell r="N78">
            <v>1870</v>
          </cell>
        </row>
        <row r="79">
          <cell r="B79" t="str">
            <v>900mm black undermount rangehood in lieu of canopy</v>
          </cell>
          <cell r="L79">
            <v>800</v>
          </cell>
          <cell r="M79">
            <v>800</v>
          </cell>
          <cell r="N79">
            <v>800</v>
          </cell>
        </row>
        <row r="80">
          <cell r="B80" t="str">
            <v>900mm stainless steel undermount rangehood in lieu of canopy</v>
          </cell>
          <cell r="L80">
            <v>770</v>
          </cell>
          <cell r="M80">
            <v>770</v>
          </cell>
          <cell r="N80">
            <v>770</v>
          </cell>
        </row>
        <row r="81">
          <cell r="B81" t="str">
            <v>Stainless steel dishwasher</v>
          </cell>
          <cell r="L81">
            <v>700</v>
          </cell>
          <cell r="M81">
            <v>700</v>
          </cell>
          <cell r="N81">
            <v>700</v>
          </cell>
        </row>
        <row r="82">
          <cell r="B82" t="str">
            <v>Black dishwasher</v>
          </cell>
          <cell r="L82">
            <v>750</v>
          </cell>
          <cell r="M82">
            <v>750</v>
          </cell>
          <cell r="N82">
            <v>750</v>
          </cell>
        </row>
        <row r="83">
          <cell r="B83" t="str">
            <v xml:space="preserve">20mm Stone benchtops- Standard </v>
          </cell>
          <cell r="L83">
            <v>3100</v>
          </cell>
          <cell r="M83">
            <v>3100</v>
          </cell>
          <cell r="N83">
            <v>3100</v>
          </cell>
        </row>
        <row r="84">
          <cell r="B84" t="str">
            <v>20mm Stone benchtops - The Everyday Kitchen</v>
          </cell>
          <cell r="L84">
            <v>2980</v>
          </cell>
          <cell r="M84">
            <v>2980</v>
          </cell>
          <cell r="N84">
            <v>2980</v>
          </cell>
        </row>
        <row r="85">
          <cell r="B85" t="str">
            <v>20mm Stone benchtops - The Modern Chef Kitchen</v>
          </cell>
          <cell r="L85">
            <v>4780</v>
          </cell>
          <cell r="M85">
            <v>4780</v>
          </cell>
          <cell r="N85">
            <v>4780</v>
          </cell>
        </row>
        <row r="86">
          <cell r="B86" t="str">
            <v>20mm Stone benchtops - The Premier Meals</v>
          </cell>
          <cell r="L86">
            <v>3325</v>
          </cell>
          <cell r="M86">
            <v>3325</v>
          </cell>
          <cell r="N86">
            <v>3325</v>
          </cell>
        </row>
        <row r="87">
          <cell r="B87" t="str">
            <v>20mm Stone waterfall ends</v>
          </cell>
          <cell r="L87">
            <v>1480</v>
          </cell>
          <cell r="M87">
            <v>1480</v>
          </cell>
          <cell r="N87">
            <v>1480</v>
          </cell>
        </row>
        <row r="88">
          <cell r="B88" t="str">
            <v xml:space="preserve">40mm Stone benchtops- Standard </v>
          </cell>
          <cell r="L88">
            <v>3950</v>
          </cell>
          <cell r="M88">
            <v>3950</v>
          </cell>
          <cell r="N88">
            <v>3950</v>
          </cell>
        </row>
        <row r="89">
          <cell r="B89" t="str">
            <v>40mm Stone benchtops- The Everyday Kitchen</v>
          </cell>
          <cell r="L89">
            <v>3800</v>
          </cell>
          <cell r="M89">
            <v>3800</v>
          </cell>
          <cell r="N89">
            <v>3800</v>
          </cell>
        </row>
        <row r="90">
          <cell r="B90" t="str">
            <v xml:space="preserve">40mm Stone benchtops - The Modern Chef Kitchen </v>
          </cell>
          <cell r="L90">
            <v>5860</v>
          </cell>
          <cell r="M90">
            <v>5860</v>
          </cell>
          <cell r="N90">
            <v>5860</v>
          </cell>
        </row>
        <row r="91">
          <cell r="B91" t="str">
            <v>40mm Stone benchtops - The Premier Meals</v>
          </cell>
          <cell r="L91">
            <v>4235</v>
          </cell>
          <cell r="M91">
            <v>4235</v>
          </cell>
          <cell r="N91">
            <v>4235</v>
          </cell>
        </row>
        <row r="92">
          <cell r="B92" t="str">
            <v>40mm Stone waterfall ends</v>
          </cell>
          <cell r="L92">
            <v>1720</v>
          </cell>
          <cell r="M92">
            <v>1720</v>
          </cell>
          <cell r="N92">
            <v>1720</v>
          </cell>
        </row>
        <row r="93">
          <cell r="B93" t="str">
            <v>Cold water point for fridge</v>
          </cell>
          <cell r="L93">
            <v>200</v>
          </cell>
          <cell r="M93">
            <v>200</v>
          </cell>
          <cell r="N93">
            <v>200</v>
          </cell>
        </row>
        <row r="94">
          <cell r="B94" t="str">
            <v>Soft close drawers</v>
          </cell>
          <cell r="L94">
            <v>350</v>
          </cell>
          <cell r="M94">
            <v>350</v>
          </cell>
          <cell r="N94">
            <v>350</v>
          </cell>
        </row>
        <row r="95">
          <cell r="B95" t="str">
            <v>Upgrade vegie kitchen mixer in chrome</v>
          </cell>
          <cell r="L95">
            <v>120</v>
          </cell>
          <cell r="M95">
            <v>120</v>
          </cell>
          <cell r="N95">
            <v>120</v>
          </cell>
        </row>
        <row r="96">
          <cell r="B96" t="str">
            <v>Upgrade vegie kitchen mixer in black</v>
          </cell>
          <cell r="L96">
            <v>130</v>
          </cell>
          <cell r="M96">
            <v>130</v>
          </cell>
          <cell r="N96">
            <v>130</v>
          </cell>
        </row>
        <row r="97">
          <cell r="B97" t="str">
            <v>Double bowl sink</v>
          </cell>
          <cell r="L97">
            <v>350</v>
          </cell>
          <cell r="M97">
            <v>350</v>
          </cell>
          <cell r="N97">
            <v>350</v>
          </cell>
        </row>
        <row r="98">
          <cell r="B98" t="str">
            <v>Upgrade cabinetry handles</v>
          </cell>
          <cell r="L98">
            <v>150</v>
          </cell>
          <cell r="M98">
            <v>150</v>
          </cell>
          <cell r="N98">
            <v>150</v>
          </cell>
        </row>
        <row r="100">
          <cell r="B100" t="str">
            <v>Upgrade tapware and accessories to Winton in chrome</v>
          </cell>
          <cell r="L100">
            <v>630</v>
          </cell>
          <cell r="M100">
            <v>630</v>
          </cell>
          <cell r="N100">
            <v>630</v>
          </cell>
        </row>
        <row r="101">
          <cell r="B101" t="str">
            <v>Upgrade tapware and accessories to Winton in black</v>
          </cell>
          <cell r="L101">
            <v>700</v>
          </cell>
          <cell r="M101">
            <v>700</v>
          </cell>
          <cell r="N101">
            <v>700</v>
          </cell>
        </row>
        <row r="102">
          <cell r="B102" t="str">
            <v>Dual shower heads</v>
          </cell>
          <cell r="L102">
            <v>440</v>
          </cell>
          <cell r="M102">
            <v>440</v>
          </cell>
          <cell r="N102">
            <v>440</v>
          </cell>
        </row>
        <row r="103">
          <cell r="B103" t="str">
            <v>Upgrade vanity basins</v>
          </cell>
          <cell r="L103">
            <v>300</v>
          </cell>
          <cell r="M103">
            <v>300</v>
          </cell>
          <cell r="N103">
            <v>300</v>
          </cell>
        </row>
        <row r="104">
          <cell r="B104" t="str">
            <v>20mm Stone benchtops</v>
          </cell>
          <cell r="L104">
            <v>900</v>
          </cell>
          <cell r="M104">
            <v>900</v>
          </cell>
          <cell r="N104">
            <v>900</v>
          </cell>
        </row>
        <row r="105">
          <cell r="B105" t="str">
            <v>Additional towel rails</v>
          </cell>
          <cell r="L105">
            <v>160</v>
          </cell>
          <cell r="M105">
            <v>160</v>
          </cell>
          <cell r="N105">
            <v>160</v>
          </cell>
        </row>
        <row r="106">
          <cell r="B106" t="str">
            <v>Upgrade cabinetry handles including laundry</v>
          </cell>
          <cell r="L106">
            <v>105</v>
          </cell>
          <cell r="M106">
            <v>105</v>
          </cell>
          <cell r="N106">
            <v>105</v>
          </cell>
        </row>
        <row r="108">
          <cell r="B108" t="str">
            <v>ENSUITE 2 - 20mm Stone benchtops</v>
          </cell>
          <cell r="N108">
            <v>450</v>
          </cell>
        </row>
        <row r="109">
          <cell r="B109" t="str">
            <v>ENSUITE 2 - Tiled recess shelves</v>
          </cell>
          <cell r="N109">
            <v>400</v>
          </cell>
        </row>
        <row r="110">
          <cell r="B110" t="str">
            <v>ENSUITE 2 - Bank of 3 drawers to vanities</v>
          </cell>
          <cell r="N110">
            <v>330</v>
          </cell>
        </row>
        <row r="111">
          <cell r="B111" t="str">
            <v>ENSUITE 2 - Bank of 2 drawers to vanities in lieu of doors</v>
          </cell>
          <cell r="N111">
            <v>330</v>
          </cell>
        </row>
        <row r="112">
          <cell r="B112" t="str">
            <v>ENSUITE 2 - Dual shower heads</v>
          </cell>
          <cell r="N112">
            <v>220</v>
          </cell>
        </row>
        <row r="113">
          <cell r="B113" t="str">
            <v>ENSUITE 2 - Additional towel rails</v>
          </cell>
          <cell r="N113">
            <v>80</v>
          </cell>
        </row>
        <row r="114">
          <cell r="B114" t="str">
            <v>ENSUITE 2 - Extend tiles to 2m high on vanity wall</v>
          </cell>
          <cell r="N114">
            <v>800</v>
          </cell>
        </row>
        <row r="115">
          <cell r="B115" t="str">
            <v>ENSUITE 2 - Extend tiles to 2m high on remaining three walls</v>
          </cell>
          <cell r="N115">
            <v>1040</v>
          </cell>
        </row>
        <row r="116">
          <cell r="B116" t="str">
            <v>ENSUITE 2 - Upgrade tapware and accessories to Winton in chrome</v>
          </cell>
          <cell r="N116">
            <v>315</v>
          </cell>
        </row>
        <row r="117">
          <cell r="B117" t="str">
            <v>ENSUITE 2 - Upgrade tapware and accessories to Winton in black</v>
          </cell>
          <cell r="N117">
            <v>350</v>
          </cell>
        </row>
        <row r="118">
          <cell r="B118" t="str">
            <v>ENSUITE 2 - Upgrade vanity basins</v>
          </cell>
          <cell r="N118">
            <v>100</v>
          </cell>
        </row>
        <row r="119">
          <cell r="B119" t="str">
            <v>ENSUITE 2 - Rectangle with rounded edge mirrors</v>
          </cell>
          <cell r="N119">
            <v>140</v>
          </cell>
        </row>
        <row r="122">
          <cell r="B122" t="str">
            <v>1 x Additional split system - (3.5kw)</v>
          </cell>
          <cell r="L122">
            <v>3200</v>
          </cell>
          <cell r="M122">
            <v>3200</v>
          </cell>
          <cell r="N122">
            <v>3200</v>
          </cell>
        </row>
        <row r="123">
          <cell r="B123" t="str">
            <v>Upgrade to reverse cycle ducted system</v>
          </cell>
          <cell r="L123">
            <v>10900</v>
          </cell>
          <cell r="M123">
            <v>11200</v>
          </cell>
          <cell r="N123">
            <v>11200</v>
          </cell>
        </row>
        <row r="125">
          <cell r="B125" t="str">
            <v>Upgrade carpet</v>
          </cell>
          <cell r="L125">
            <v>400</v>
          </cell>
          <cell r="M125">
            <v>400</v>
          </cell>
          <cell r="N125">
            <v>500</v>
          </cell>
        </row>
        <row r="126">
          <cell r="B126" t="str">
            <v>Upgrade tiles to wet area floor &amp; walls</v>
          </cell>
          <cell r="L126">
            <v>600</v>
          </cell>
          <cell r="M126">
            <v>600</v>
          </cell>
          <cell r="N126">
            <v>600</v>
          </cell>
        </row>
        <row r="127">
          <cell r="B127" t="str">
            <v>Upgrade tiles to main area floors</v>
          </cell>
          <cell r="L127">
            <v>1500</v>
          </cell>
          <cell r="M127">
            <v>1500</v>
          </cell>
          <cell r="N127">
            <v>1500</v>
          </cell>
        </row>
        <row r="128">
          <cell r="B128" t="str">
            <v>Upgrade tiles to kitchen &amp; laundry splashback</v>
          </cell>
          <cell r="L128">
            <v>300</v>
          </cell>
          <cell r="M128">
            <v>300</v>
          </cell>
          <cell r="N128">
            <v>300</v>
          </cell>
        </row>
        <row r="129">
          <cell r="B129" t="str">
            <v>Upgrade to vinyl</v>
          </cell>
          <cell r="L129">
            <v>3400</v>
          </cell>
          <cell r="M129">
            <v>4400</v>
          </cell>
          <cell r="N129">
            <v>4300</v>
          </cell>
        </row>
        <row r="131">
          <cell r="B131" t="str">
            <v>Downlight Pack 1: Entry &amp; Family room</v>
          </cell>
          <cell r="L131">
            <v>1240</v>
          </cell>
          <cell r="M131">
            <v>1550</v>
          </cell>
          <cell r="N131">
            <v>1550</v>
          </cell>
        </row>
        <row r="132">
          <cell r="B132" t="str">
            <v>Downlight Pack 2: Whole home</v>
          </cell>
          <cell r="L132">
            <v>1870</v>
          </cell>
          <cell r="M132">
            <v>2440</v>
          </cell>
          <cell r="N132">
            <v>3050</v>
          </cell>
        </row>
        <row r="133">
          <cell r="B133" t="str">
            <v>External Pack 1: Downlights to porch &amp; front eave</v>
          </cell>
          <cell r="L133">
            <v>160</v>
          </cell>
          <cell r="M133">
            <v>160</v>
          </cell>
          <cell r="N133">
            <v>160</v>
          </cell>
        </row>
        <row r="134">
          <cell r="B134" t="str">
            <v>External Pack 2: 2 x Up/down lights, 2 downlights to outdoor living &amp; 2 floodlights</v>
          </cell>
          <cell r="L134">
            <v>1175</v>
          </cell>
          <cell r="M134">
            <v>1175</v>
          </cell>
          <cell r="N134">
            <v>1175</v>
          </cell>
        </row>
        <row r="135">
          <cell r="B135" t="str">
            <v>Pendant Pack: 3 Pendants to island bench</v>
          </cell>
          <cell r="L135">
            <v>1160</v>
          </cell>
          <cell r="M135">
            <v>1160</v>
          </cell>
          <cell r="N135">
            <v>1160</v>
          </cell>
        </row>
        <row r="136">
          <cell r="B136" t="str">
            <v>Fan Pack 1: Ceiling fans to all bedrooms</v>
          </cell>
          <cell r="L136">
            <v>2500</v>
          </cell>
          <cell r="M136">
            <v>2500</v>
          </cell>
          <cell r="N136">
            <v>2500</v>
          </cell>
        </row>
        <row r="137">
          <cell r="B137" t="str">
            <v>Fan Pack 2: Ceiling fans to living areas</v>
          </cell>
          <cell r="L137">
            <v>1240</v>
          </cell>
          <cell r="M137">
            <v>1860</v>
          </cell>
          <cell r="N137">
            <v>1860</v>
          </cell>
        </row>
        <row r="138">
          <cell r="B138" t="str">
            <v>Fan Pack 3: Ceiling fan to outdoor living</v>
          </cell>
          <cell r="L138">
            <v>620</v>
          </cell>
          <cell r="M138">
            <v>620</v>
          </cell>
          <cell r="N138">
            <v>620</v>
          </cell>
        </row>
        <row r="139">
          <cell r="B139" t="str">
            <v>TV antenna</v>
          </cell>
          <cell r="L139">
            <v>590</v>
          </cell>
          <cell r="M139">
            <v>590</v>
          </cell>
          <cell r="N139">
            <v>590</v>
          </cell>
        </row>
        <row r="140">
          <cell r="B140" t="str">
            <v>TV Pack: 2 x TV points &amp; 2 x double powerpoints</v>
          </cell>
          <cell r="L140">
            <v>340</v>
          </cell>
          <cell r="M140">
            <v>340</v>
          </cell>
          <cell r="N140">
            <v>340</v>
          </cell>
        </row>
        <row r="141">
          <cell r="B141" t="str">
            <v>Powerpoint Pack 1: 5 x Double powerpoints</v>
          </cell>
          <cell r="L141">
            <v>430</v>
          </cell>
          <cell r="M141">
            <v>430</v>
          </cell>
          <cell r="N141">
            <v>430</v>
          </cell>
        </row>
        <row r="142">
          <cell r="B142" t="str">
            <v>Powerpoint Pack 2: 10 x Double powerpoints</v>
          </cell>
          <cell r="L142">
            <v>850</v>
          </cell>
          <cell r="M142">
            <v>850</v>
          </cell>
          <cell r="N142">
            <v>850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6.emf"/><Relationship Id="rId3" Type="http://schemas.openxmlformats.org/officeDocument/2006/relationships/vmlDrawing" Target="../drawings/vmlDrawing3.vml"/><Relationship Id="rId7" Type="http://schemas.openxmlformats.org/officeDocument/2006/relationships/image" Target="../media/image3.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7.bin"/><Relationship Id="rId6" Type="http://schemas.openxmlformats.org/officeDocument/2006/relationships/control" Target="../activeX/activeX2.xml"/><Relationship Id="rId11" Type="http://schemas.openxmlformats.org/officeDocument/2006/relationships/image" Target="../media/image5.emf"/><Relationship Id="rId5" Type="http://schemas.openxmlformats.org/officeDocument/2006/relationships/image" Target="../media/image2.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emf"/></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8.xml"/><Relationship Id="rId13" Type="http://schemas.openxmlformats.org/officeDocument/2006/relationships/image" Target="../media/image20.emf"/><Relationship Id="rId3" Type="http://schemas.openxmlformats.org/officeDocument/2006/relationships/vmlDrawing" Target="../drawings/vmlDrawing4.vml"/><Relationship Id="rId7" Type="http://schemas.openxmlformats.org/officeDocument/2006/relationships/image" Target="../media/image17.emf"/><Relationship Id="rId12" Type="http://schemas.openxmlformats.org/officeDocument/2006/relationships/control" Target="../activeX/activeX10.xml"/><Relationship Id="rId2" Type="http://schemas.openxmlformats.org/officeDocument/2006/relationships/drawing" Target="../drawings/drawing4.xml"/><Relationship Id="rId1" Type="http://schemas.openxmlformats.org/officeDocument/2006/relationships/printerSettings" Target="../printerSettings/printerSettings14.bin"/><Relationship Id="rId6" Type="http://schemas.openxmlformats.org/officeDocument/2006/relationships/control" Target="../activeX/activeX7.xml"/><Relationship Id="rId11" Type="http://schemas.openxmlformats.org/officeDocument/2006/relationships/image" Target="../media/image19.emf"/><Relationship Id="rId5" Type="http://schemas.openxmlformats.org/officeDocument/2006/relationships/image" Target="../media/image16.emf"/><Relationship Id="rId10" Type="http://schemas.openxmlformats.org/officeDocument/2006/relationships/control" Target="../activeX/activeX9.xml"/><Relationship Id="rId4" Type="http://schemas.openxmlformats.org/officeDocument/2006/relationships/control" Target="../activeX/activeX6.xml"/><Relationship Id="rId9" Type="http://schemas.openxmlformats.org/officeDocument/2006/relationships/image" Target="../media/image18.emf"/></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4101-94B3-41A3-9F50-B7D3B8BA92A8}">
  <sheetPr codeName="Sheet1"/>
  <dimension ref="A1:BS183"/>
  <sheetViews>
    <sheetView workbookViewId="0">
      <pane xSplit="1" ySplit="12" topLeftCell="B13" activePane="bottomRight" state="frozen"/>
      <selection activeCell="K9" sqref="K9"/>
      <selection pane="topRight" activeCell="K9" sqref="K9"/>
      <selection pane="bottomLeft" activeCell="K9" sqref="K9"/>
      <selection pane="bottomRight" activeCell="BC27" sqref="BC27"/>
    </sheetView>
  </sheetViews>
  <sheetFormatPr defaultColWidth="9.109375" defaultRowHeight="13.2"/>
  <cols>
    <col min="1" max="1" width="20.5546875" style="3" bestFit="1" customWidth="1"/>
    <col min="2" max="2" width="6.44140625" style="3" hidden="1" customWidth="1"/>
    <col min="3" max="53" width="5.6640625" style="3" hidden="1" customWidth="1"/>
    <col min="54" max="57" width="12.33203125" style="3" customWidth="1"/>
    <col min="58" max="66" width="9.109375" style="3"/>
    <col min="67" max="68" width="9.6640625" style="3" bestFit="1" customWidth="1"/>
    <col min="69" max="69" width="9.109375" style="3"/>
    <col min="70" max="70" width="10.109375" style="3" bestFit="1" customWidth="1"/>
    <col min="71" max="71" width="7.6640625" style="3" bestFit="1" customWidth="1"/>
    <col min="72" max="16384" width="9.109375" style="3"/>
  </cols>
  <sheetData>
    <row r="1" spans="1:7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2"/>
      <c r="BG1" s="2"/>
    </row>
    <row r="2" spans="1:71">
      <c r="BF2" s="2"/>
      <c r="BG2" s="2"/>
      <c r="BR2" s="4"/>
    </row>
    <row r="3" spans="1:71">
      <c r="A3" s="3" t="s">
        <v>1</v>
      </c>
      <c r="BB3" s="3">
        <f>50*140</f>
        <v>7000</v>
      </c>
      <c r="BD3" s="356" t="s">
        <v>1068</v>
      </c>
      <c r="BE3" s="355"/>
      <c r="BF3" s="357"/>
      <c r="BG3" s="2"/>
      <c r="BI3" s="355" t="s">
        <v>1084</v>
      </c>
      <c r="BJ3" s="355"/>
      <c r="BK3" s="355"/>
      <c r="BL3" s="355"/>
      <c r="BR3" s="5"/>
      <c r="BS3" s="6"/>
    </row>
    <row r="4" spans="1:71">
      <c r="A4" s="3" t="s">
        <v>2</v>
      </c>
      <c r="BB4" s="3">
        <v>96</v>
      </c>
      <c r="BD4" s="355" t="s">
        <v>1066</v>
      </c>
      <c r="BE4" s="358">
        <v>3000</v>
      </c>
      <c r="BF4" s="357"/>
      <c r="BG4" s="2"/>
      <c r="BI4" s="355" t="s">
        <v>1070</v>
      </c>
      <c r="BJ4" s="355"/>
      <c r="BK4" s="355"/>
      <c r="BL4" s="355"/>
      <c r="BR4" s="4"/>
    </row>
    <row r="5" spans="1:71">
      <c r="A5" s="3" t="s">
        <v>3</v>
      </c>
      <c r="BB5" s="3">
        <v>55</v>
      </c>
      <c r="BD5" s="355" t="s">
        <v>1067</v>
      </c>
      <c r="BE5" s="358">
        <v>4000</v>
      </c>
      <c r="BF5" s="357"/>
      <c r="BG5" s="2"/>
      <c r="BS5" s="6"/>
    </row>
    <row r="6" spans="1:71">
      <c r="A6" s="355" t="s">
        <v>760</v>
      </c>
      <c r="B6" s="355"/>
      <c r="C6" s="355"/>
      <c r="D6" s="355"/>
      <c r="E6" s="355"/>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v>0</v>
      </c>
      <c r="BC6" s="5"/>
      <c r="BD6" s="5"/>
      <c r="BE6" s="5"/>
      <c r="BF6" s="2"/>
      <c r="BG6" s="2"/>
    </row>
    <row r="7" spans="1:71">
      <c r="BF7" s="2"/>
      <c r="BG7" s="2"/>
    </row>
    <row r="8" spans="1:71">
      <c r="B8" s="250"/>
      <c r="C8" s="250"/>
      <c r="D8" s="250"/>
      <c r="E8" s="250"/>
      <c r="F8" s="250"/>
      <c r="G8" s="250"/>
      <c r="H8" s="250"/>
      <c r="I8" s="250"/>
      <c r="J8" s="250"/>
      <c r="K8" s="250"/>
      <c r="L8" s="250"/>
      <c r="M8" s="250"/>
      <c r="N8" s="250"/>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49" t="s">
        <v>5</v>
      </c>
      <c r="BC8" s="353" t="s">
        <v>6</v>
      </c>
      <c r="BD8" s="354"/>
      <c r="BE8" s="1"/>
    </row>
    <row r="9" spans="1:71">
      <c r="B9" s="248"/>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3" t="s">
        <v>8</v>
      </c>
      <c r="BC9" s="355" t="s">
        <v>8</v>
      </c>
      <c r="BD9" s="355" t="s">
        <v>1065</v>
      </c>
      <c r="BF9" s="3" t="s">
        <v>9</v>
      </c>
      <c r="BG9" s="3" t="s">
        <v>10</v>
      </c>
      <c r="BI9" s="3" t="s">
        <v>3</v>
      </c>
      <c r="BJ9" s="3" t="s">
        <v>10</v>
      </c>
      <c r="BO9" s="7"/>
    </row>
    <row r="10" spans="1:71">
      <c r="AE10" s="520" t="s">
        <v>140</v>
      </c>
      <c r="AF10" s="520"/>
      <c r="AG10" s="520"/>
      <c r="AH10" s="520"/>
      <c r="AI10" s="520"/>
      <c r="AJ10" s="520"/>
      <c r="AK10" s="520"/>
      <c r="AL10" s="520"/>
      <c r="AO10" s="520" t="s">
        <v>143</v>
      </c>
      <c r="AP10" s="520"/>
      <c r="AQ10" s="520"/>
      <c r="AR10" s="520"/>
      <c r="AS10" s="520"/>
      <c r="AT10" s="520"/>
      <c r="AU10" s="520"/>
      <c r="AV10" s="3" t="s">
        <v>805</v>
      </c>
      <c r="BO10" s="7"/>
    </row>
    <row r="11" spans="1:71" ht="27" customHeight="1">
      <c r="A11" s="1" t="s">
        <v>7</v>
      </c>
      <c r="B11" s="248" t="s">
        <v>115</v>
      </c>
      <c r="C11" s="248" t="s">
        <v>117</v>
      </c>
      <c r="D11" s="248" t="s">
        <v>118</v>
      </c>
      <c r="E11" s="248" t="s">
        <v>119</v>
      </c>
      <c r="F11" s="248" t="s">
        <v>120</v>
      </c>
      <c r="G11" s="248" t="s">
        <v>122</v>
      </c>
      <c r="H11" s="248" t="s">
        <v>123</v>
      </c>
      <c r="I11" s="248" t="s">
        <v>791</v>
      </c>
      <c r="J11" s="248" t="s">
        <v>4</v>
      </c>
      <c r="K11" s="248" t="s">
        <v>126</v>
      </c>
      <c r="L11" s="248" t="s">
        <v>127</v>
      </c>
      <c r="M11" s="248" t="s">
        <v>128</v>
      </c>
      <c r="N11" s="248" t="s">
        <v>792</v>
      </c>
      <c r="O11" s="248" t="s">
        <v>130</v>
      </c>
      <c r="P11" s="248" t="s">
        <v>131</v>
      </c>
      <c r="Q11" s="248" t="s">
        <v>132</v>
      </c>
      <c r="R11" s="248" t="s">
        <v>793</v>
      </c>
      <c r="S11" s="248" t="s">
        <v>134</v>
      </c>
      <c r="T11" s="248" t="s">
        <v>794</v>
      </c>
      <c r="U11" s="248" t="s">
        <v>795</v>
      </c>
      <c r="V11" s="248" t="s">
        <v>796</v>
      </c>
      <c r="W11" s="248" t="s">
        <v>797</v>
      </c>
      <c r="X11" s="248" t="s">
        <v>798</v>
      </c>
      <c r="Y11" s="248" t="s">
        <v>799</v>
      </c>
      <c r="Z11" s="248" t="s">
        <v>135</v>
      </c>
      <c r="AA11" s="248" t="s">
        <v>800</v>
      </c>
      <c r="AB11" s="248" t="s">
        <v>801</v>
      </c>
      <c r="AC11" s="248" t="s">
        <v>138</v>
      </c>
      <c r="AD11" s="248" t="s">
        <v>802</v>
      </c>
      <c r="AE11" s="248">
        <v>1006</v>
      </c>
      <c r="AF11" s="248">
        <v>1212</v>
      </c>
      <c r="AG11" s="248">
        <v>1215</v>
      </c>
      <c r="AH11" s="248">
        <v>1809</v>
      </c>
      <c r="AI11" s="248">
        <v>1812</v>
      </c>
      <c r="AJ11" s="248">
        <v>1818</v>
      </c>
      <c r="AK11" s="248">
        <v>1821</v>
      </c>
      <c r="AL11" s="248">
        <v>1824</v>
      </c>
      <c r="AM11" s="248" t="s">
        <v>803</v>
      </c>
      <c r="AN11" s="248" t="s">
        <v>804</v>
      </c>
      <c r="AO11" s="248">
        <v>2115</v>
      </c>
      <c r="AP11" s="248">
        <v>2118</v>
      </c>
      <c r="AQ11" s="248">
        <v>2121</v>
      </c>
      <c r="AR11" s="248">
        <v>2124</v>
      </c>
      <c r="AS11" s="248">
        <v>2127</v>
      </c>
      <c r="AT11" s="248">
        <v>2136</v>
      </c>
      <c r="AU11" s="248">
        <v>2155</v>
      </c>
      <c r="AV11" s="248" t="s">
        <v>145</v>
      </c>
      <c r="AW11" s="248" t="s">
        <v>806</v>
      </c>
      <c r="AX11" s="248" t="s">
        <v>807</v>
      </c>
      <c r="AY11" s="248" t="s">
        <v>148</v>
      </c>
      <c r="AZ11" s="248" t="s">
        <v>808</v>
      </c>
      <c r="BA11" s="248" t="s">
        <v>150</v>
      </c>
      <c r="BO11" s="7"/>
    </row>
    <row r="12" spans="1:71">
      <c r="B12" s="3" t="s">
        <v>508</v>
      </c>
      <c r="C12" s="3" t="s">
        <v>508</v>
      </c>
      <c r="D12" s="3" t="s">
        <v>508</v>
      </c>
      <c r="E12" s="3" t="s">
        <v>508</v>
      </c>
      <c r="F12" s="3" t="s">
        <v>809</v>
      </c>
      <c r="G12" s="3" t="s">
        <v>809</v>
      </c>
      <c r="H12" s="3" t="s">
        <v>810</v>
      </c>
      <c r="I12" s="3" t="s">
        <v>810</v>
      </c>
      <c r="J12" s="3" t="s">
        <v>809</v>
      </c>
      <c r="K12" s="3" t="s">
        <v>809</v>
      </c>
      <c r="L12" s="3" t="s">
        <v>809</v>
      </c>
      <c r="M12" s="3" t="s">
        <v>809</v>
      </c>
      <c r="N12" s="3" t="s">
        <v>809</v>
      </c>
      <c r="O12" s="3" t="s">
        <v>809</v>
      </c>
      <c r="P12" s="3" t="s">
        <v>809</v>
      </c>
      <c r="Q12" s="3" t="s">
        <v>809</v>
      </c>
      <c r="R12" s="3" t="s">
        <v>809</v>
      </c>
      <c r="S12" s="3" t="s">
        <v>809</v>
      </c>
      <c r="T12" s="3" t="s">
        <v>809</v>
      </c>
      <c r="U12" s="3" t="s">
        <v>810</v>
      </c>
      <c r="V12" s="3" t="s">
        <v>809</v>
      </c>
      <c r="W12" s="3" t="s">
        <v>810</v>
      </c>
      <c r="X12" s="3" t="s">
        <v>809</v>
      </c>
      <c r="Y12" s="3" t="s">
        <v>810</v>
      </c>
      <c r="Z12" s="3" t="s">
        <v>809</v>
      </c>
      <c r="AA12" s="3" t="s">
        <v>810</v>
      </c>
      <c r="AB12" s="3" t="s">
        <v>810</v>
      </c>
      <c r="AC12" s="3" t="s">
        <v>810</v>
      </c>
      <c r="AD12" s="3" t="s">
        <v>810</v>
      </c>
      <c r="AE12" s="3" t="s">
        <v>810</v>
      </c>
      <c r="AF12" s="3" t="s">
        <v>810</v>
      </c>
      <c r="AG12" s="3" t="s">
        <v>810</v>
      </c>
      <c r="AH12" s="3" t="s">
        <v>810</v>
      </c>
      <c r="AI12" s="3" t="s">
        <v>810</v>
      </c>
      <c r="AJ12" s="3" t="s">
        <v>810</v>
      </c>
      <c r="AK12" s="3" t="s">
        <v>810</v>
      </c>
      <c r="AL12" s="3" t="s">
        <v>810</v>
      </c>
      <c r="AM12" s="3" t="s">
        <v>810</v>
      </c>
      <c r="AN12" s="3" t="s">
        <v>810</v>
      </c>
      <c r="AO12" s="3" t="s">
        <v>810</v>
      </c>
      <c r="AP12" s="3" t="s">
        <v>810</v>
      </c>
      <c r="AQ12" s="3" t="s">
        <v>810</v>
      </c>
      <c r="AR12" s="3" t="s">
        <v>810</v>
      </c>
      <c r="AS12" s="3" t="s">
        <v>810</v>
      </c>
      <c r="AT12" s="3" t="s">
        <v>810</v>
      </c>
      <c r="AU12" s="3" t="s">
        <v>810</v>
      </c>
      <c r="AV12" s="3" t="s">
        <v>810</v>
      </c>
      <c r="AW12" s="3" t="s">
        <v>810</v>
      </c>
      <c r="AX12" s="3" t="s">
        <v>810</v>
      </c>
      <c r="AY12" s="3" t="s">
        <v>810</v>
      </c>
      <c r="AZ12" s="3" t="s">
        <v>810</v>
      </c>
      <c r="BA12" s="3" t="s">
        <v>810</v>
      </c>
      <c r="BO12" s="7"/>
    </row>
    <row r="13" spans="1:71">
      <c r="A13" s="3" t="s">
        <v>1143</v>
      </c>
      <c r="B13" s="251">
        <v>120.71</v>
      </c>
      <c r="C13" s="251">
        <v>38.81</v>
      </c>
      <c r="D13" s="251">
        <v>5.0599999999999996</v>
      </c>
      <c r="E13" s="251">
        <v>9.51</v>
      </c>
      <c r="F13" s="251">
        <v>3.8</v>
      </c>
      <c r="G13" s="251">
        <v>6.4</v>
      </c>
      <c r="H13" s="251">
        <v>1</v>
      </c>
      <c r="I13" s="251">
        <v>1</v>
      </c>
      <c r="J13" s="251">
        <v>7.09</v>
      </c>
      <c r="K13" s="251">
        <v>35.222999999999999</v>
      </c>
      <c r="L13" s="251">
        <v>9.0030000000000001</v>
      </c>
      <c r="M13" s="251">
        <v>12.45</v>
      </c>
      <c r="N13" s="251">
        <v>45.17</v>
      </c>
      <c r="O13" s="251">
        <v>50.8</v>
      </c>
      <c r="P13" s="251">
        <v>3.16</v>
      </c>
      <c r="Q13" s="251">
        <v>1.5</v>
      </c>
      <c r="R13" s="251">
        <v>1.5</v>
      </c>
      <c r="S13" s="251">
        <v>2.4</v>
      </c>
      <c r="T13" s="251">
        <v>0.9</v>
      </c>
      <c r="U13" s="251">
        <v>1</v>
      </c>
      <c r="V13" s="251">
        <v>0.9</v>
      </c>
      <c r="W13" s="251">
        <v>1</v>
      </c>
      <c r="X13" s="251">
        <v>0</v>
      </c>
      <c r="Y13" s="251">
        <v>0</v>
      </c>
      <c r="Z13" s="251">
        <v>1.2</v>
      </c>
      <c r="AA13" s="251">
        <v>9</v>
      </c>
      <c r="AB13" s="251">
        <v>0</v>
      </c>
      <c r="AC13" s="251">
        <v>0</v>
      </c>
      <c r="AD13" s="251">
        <v>0</v>
      </c>
      <c r="AE13" s="251">
        <v>1</v>
      </c>
      <c r="AF13" s="251">
        <v>1</v>
      </c>
      <c r="AG13" s="251">
        <v>2</v>
      </c>
      <c r="AH13" s="251"/>
      <c r="AI13" s="251"/>
      <c r="AJ13" s="251">
        <v>1</v>
      </c>
      <c r="AK13" s="251"/>
      <c r="AL13" s="251"/>
      <c r="AM13" s="251"/>
      <c r="AN13" s="251"/>
      <c r="AO13" s="251"/>
      <c r="AP13" s="251">
        <v>1</v>
      </c>
      <c r="AQ13" s="251"/>
      <c r="AR13" s="251"/>
      <c r="AS13" s="251"/>
      <c r="AT13" s="251"/>
      <c r="AU13" s="251"/>
      <c r="AV13" s="251"/>
      <c r="AW13" s="251"/>
      <c r="AX13" s="251"/>
      <c r="AY13" s="251"/>
      <c r="AZ13" s="251"/>
      <c r="BA13" s="251"/>
      <c r="BB13" s="9">
        <v>270995</v>
      </c>
      <c r="BC13" s="9"/>
      <c r="BD13" s="9"/>
      <c r="BE13" s="9">
        <f>+BC13-BB13</f>
        <v>-270995</v>
      </c>
      <c r="BF13" s="3">
        <v>55.87</v>
      </c>
      <c r="BG13" s="3">
        <v>1.1000000000000001</v>
      </c>
      <c r="BH13" s="3">
        <f>+BG13*BF13</f>
        <v>61.457000000000001</v>
      </c>
      <c r="BI13" s="3">
        <v>49.72</v>
      </c>
      <c r="BJ13" s="3">
        <v>1.1000000000000001</v>
      </c>
      <c r="BK13" s="3">
        <f>+BJ13*BI13</f>
        <v>54.692</v>
      </c>
      <c r="BM13" s="8"/>
      <c r="BO13" s="6"/>
      <c r="BP13" s="6"/>
    </row>
    <row r="14" spans="1:71">
      <c r="A14" s="3" t="s">
        <v>1144</v>
      </c>
      <c r="B14" s="251">
        <v>142.05000000000001</v>
      </c>
      <c r="C14" s="251">
        <v>38.79</v>
      </c>
      <c r="D14" s="251">
        <v>5.0599999999999996</v>
      </c>
      <c r="E14" s="251">
        <v>10.31</v>
      </c>
      <c r="F14" s="251"/>
      <c r="G14" s="251"/>
      <c r="H14" s="251">
        <v>1</v>
      </c>
      <c r="I14" s="251"/>
      <c r="J14" s="251">
        <v>7.09</v>
      </c>
      <c r="K14" s="251">
        <v>35.225999999999999</v>
      </c>
      <c r="L14" s="251">
        <v>9.0030000000000001</v>
      </c>
      <c r="M14" s="251">
        <v>14.97</v>
      </c>
      <c r="N14" s="251">
        <v>50.21</v>
      </c>
      <c r="O14" s="251">
        <v>54.65</v>
      </c>
      <c r="P14" s="251">
        <v>3.16</v>
      </c>
      <c r="Q14" s="251">
        <v>1.43</v>
      </c>
      <c r="R14" s="251">
        <v>1.43</v>
      </c>
      <c r="S14" s="251">
        <v>2.35</v>
      </c>
      <c r="T14" s="251">
        <v>0.9</v>
      </c>
      <c r="U14" s="251">
        <v>1</v>
      </c>
      <c r="V14" s="251">
        <v>0.9</v>
      </c>
      <c r="W14" s="251">
        <v>1</v>
      </c>
      <c r="X14" s="251">
        <v>0</v>
      </c>
      <c r="Y14" s="251">
        <v>0</v>
      </c>
      <c r="Z14" s="251">
        <v>1.2</v>
      </c>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1"/>
      <c r="AX14" s="251"/>
      <c r="AY14" s="251"/>
      <c r="AZ14" s="251"/>
      <c r="BA14" s="251"/>
      <c r="BB14" s="9">
        <v>289755</v>
      </c>
      <c r="BC14" s="9"/>
      <c r="BD14" s="9"/>
      <c r="BE14" s="9">
        <f t="shared" ref="BE14:BE24" si="0">+BC14-BB14</f>
        <v>-289755</v>
      </c>
      <c r="BF14" s="3">
        <v>66.31</v>
      </c>
      <c r="BG14" s="3">
        <v>1.1000000000000001</v>
      </c>
      <c r="BH14" s="3">
        <f t="shared" ref="BH14:BH24" si="1">+BG14*BF14</f>
        <v>72.941000000000003</v>
      </c>
      <c r="BI14" s="3">
        <v>61.4</v>
      </c>
      <c r="BJ14" s="3">
        <v>1.1000000000000001</v>
      </c>
      <c r="BK14" s="3">
        <f t="shared" ref="BK14:BK24" si="2">+BJ14*BI14</f>
        <v>67.540000000000006</v>
      </c>
      <c r="BM14" s="8"/>
      <c r="BO14" s="6"/>
      <c r="BP14" s="6"/>
    </row>
    <row r="15" spans="1:71">
      <c r="A15" s="3" t="s">
        <v>1145</v>
      </c>
      <c r="B15" s="251">
        <v>154.9</v>
      </c>
      <c r="C15" s="251">
        <v>38.57</v>
      </c>
      <c r="D15" s="251">
        <v>4.18</v>
      </c>
      <c r="E15" s="251">
        <v>11.61</v>
      </c>
      <c r="F15" s="251"/>
      <c r="G15" s="251"/>
      <c r="H15" s="251">
        <v>2</v>
      </c>
      <c r="I15" s="251"/>
      <c r="J15" s="251">
        <v>5.9649999999999999</v>
      </c>
      <c r="K15" s="251">
        <v>37.710999999999999</v>
      </c>
      <c r="L15" s="251">
        <v>10.26</v>
      </c>
      <c r="M15" s="251">
        <v>15.34</v>
      </c>
      <c r="N15" s="251">
        <v>51.73</v>
      </c>
      <c r="O15" s="251">
        <v>64.2</v>
      </c>
      <c r="P15" s="251">
        <v>2.8</v>
      </c>
      <c r="Q15" s="251">
        <v>3.1</v>
      </c>
      <c r="R15" s="251">
        <v>1.9</v>
      </c>
      <c r="S15" s="251">
        <v>2.5</v>
      </c>
      <c r="T15" s="251">
        <v>1.2</v>
      </c>
      <c r="U15" s="251">
        <v>1</v>
      </c>
      <c r="V15" s="251">
        <v>0.9</v>
      </c>
      <c r="W15" s="251">
        <v>1</v>
      </c>
      <c r="X15" s="251">
        <v>0</v>
      </c>
      <c r="Y15" s="251">
        <v>0</v>
      </c>
      <c r="Z15" s="251">
        <v>1.2</v>
      </c>
      <c r="AA15" s="251"/>
      <c r="AB15" s="251"/>
      <c r="AC15" s="251"/>
      <c r="AD15" s="251"/>
      <c r="AE15" s="251"/>
      <c r="AF15" s="251"/>
      <c r="AG15" s="251"/>
      <c r="AH15" s="251"/>
      <c r="AI15" s="251"/>
      <c r="AJ15" s="251"/>
      <c r="AK15" s="251"/>
      <c r="AL15" s="251"/>
      <c r="AM15" s="251"/>
      <c r="AN15" s="251"/>
      <c r="AO15" s="251"/>
      <c r="AP15" s="251"/>
      <c r="AQ15" s="251"/>
      <c r="AR15" s="251"/>
      <c r="AS15" s="251"/>
      <c r="AT15" s="251"/>
      <c r="AU15" s="251"/>
      <c r="AV15" s="251"/>
      <c r="AW15" s="251"/>
      <c r="AX15" s="251"/>
      <c r="AY15" s="251"/>
      <c r="AZ15" s="251"/>
      <c r="BA15" s="251"/>
      <c r="BB15" s="9">
        <v>294955</v>
      </c>
      <c r="BC15" s="9"/>
      <c r="BD15" s="9"/>
      <c r="BE15" s="9">
        <f t="shared" si="0"/>
        <v>-294955</v>
      </c>
      <c r="BF15" s="3">
        <v>70.17</v>
      </c>
      <c r="BG15" s="3">
        <v>1.1000000000000001</v>
      </c>
      <c r="BH15" s="3">
        <f t="shared" si="1"/>
        <v>77.187000000000012</v>
      </c>
      <c r="BI15" s="3">
        <v>60.8</v>
      </c>
      <c r="BJ15" s="3">
        <v>1.1000000000000001</v>
      </c>
      <c r="BK15" s="3">
        <f t="shared" si="2"/>
        <v>66.88</v>
      </c>
      <c r="BM15" s="8"/>
      <c r="BO15" s="6"/>
      <c r="BP15" s="6"/>
    </row>
    <row r="16" spans="1:71">
      <c r="A16" s="3" t="s">
        <v>1201</v>
      </c>
      <c r="B16" s="251">
        <v>154.9</v>
      </c>
      <c r="C16" s="251">
        <v>38.57</v>
      </c>
      <c r="D16" s="251">
        <v>4.18</v>
      </c>
      <c r="E16" s="251">
        <v>11.66</v>
      </c>
      <c r="F16" s="251"/>
      <c r="G16" s="251"/>
      <c r="H16" s="251">
        <v>2</v>
      </c>
      <c r="I16" s="251"/>
      <c r="J16" s="251">
        <v>5.9649999999999999</v>
      </c>
      <c r="K16" s="251">
        <v>37.710999999999999</v>
      </c>
      <c r="L16" s="251">
        <v>10.26</v>
      </c>
      <c r="M16" s="251">
        <v>15.34</v>
      </c>
      <c r="N16" s="251">
        <v>51.73</v>
      </c>
      <c r="O16" s="251">
        <v>68.349999999999994</v>
      </c>
      <c r="P16" s="251">
        <v>2.8</v>
      </c>
      <c r="Q16" s="251">
        <v>3.1</v>
      </c>
      <c r="R16" s="251">
        <v>1.9</v>
      </c>
      <c r="S16" s="251">
        <v>2.5</v>
      </c>
      <c r="T16" s="251">
        <v>1.2</v>
      </c>
      <c r="U16" s="251">
        <v>1</v>
      </c>
      <c r="V16" s="251">
        <v>0.9</v>
      </c>
      <c r="W16" s="251">
        <v>1</v>
      </c>
      <c r="X16" s="251">
        <v>0</v>
      </c>
      <c r="Y16" s="251">
        <v>0</v>
      </c>
      <c r="Z16" s="251">
        <v>1.2</v>
      </c>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1"/>
      <c r="AX16" s="251"/>
      <c r="AY16" s="251"/>
      <c r="AZ16" s="251"/>
      <c r="BA16" s="251"/>
      <c r="BB16" s="9">
        <v>253005</v>
      </c>
      <c r="BC16" s="9"/>
      <c r="BD16" s="9"/>
      <c r="BE16" s="9">
        <f t="shared" si="0"/>
        <v>-253005</v>
      </c>
      <c r="BF16" s="3">
        <v>51.76</v>
      </c>
      <c r="BG16" s="3">
        <v>1.1000000000000001</v>
      </c>
      <c r="BH16" s="3">
        <f t="shared" si="1"/>
        <v>56.936</v>
      </c>
      <c r="BI16" s="3">
        <v>37.9</v>
      </c>
      <c r="BJ16" s="3">
        <v>1.1000000000000001</v>
      </c>
      <c r="BK16" s="3">
        <f t="shared" si="2"/>
        <v>41.690000000000005</v>
      </c>
      <c r="BM16" s="8"/>
      <c r="BO16" s="6"/>
      <c r="BP16" s="6"/>
    </row>
    <row r="17" spans="1:68">
      <c r="A17" s="3" t="s">
        <v>1202</v>
      </c>
      <c r="B17" s="251">
        <v>170.21</v>
      </c>
      <c r="C17" s="251">
        <v>38.68</v>
      </c>
      <c r="D17" s="251">
        <v>5.08</v>
      </c>
      <c r="E17" s="251">
        <v>11.92</v>
      </c>
      <c r="F17" s="251"/>
      <c r="G17" s="251"/>
      <c r="H17" s="251">
        <v>1</v>
      </c>
      <c r="I17" s="251"/>
      <c r="J17" s="251">
        <v>7.09</v>
      </c>
      <c r="K17" s="251">
        <v>37.32</v>
      </c>
      <c r="L17" s="251">
        <v>9.0020000000000007</v>
      </c>
      <c r="M17" s="251">
        <v>15.66</v>
      </c>
      <c r="N17" s="251">
        <v>55.29</v>
      </c>
      <c r="O17" s="251">
        <v>67.25</v>
      </c>
      <c r="P17" s="251">
        <v>3.9</v>
      </c>
      <c r="Q17" s="251">
        <v>2.08</v>
      </c>
      <c r="R17" s="251">
        <v>2.08</v>
      </c>
      <c r="S17" s="251">
        <v>2.7</v>
      </c>
      <c r="T17" s="251">
        <v>0.9</v>
      </c>
      <c r="U17" s="251">
        <v>1</v>
      </c>
      <c r="V17" s="251">
        <v>0.9</v>
      </c>
      <c r="W17" s="251">
        <v>1</v>
      </c>
      <c r="X17" s="251">
        <v>0</v>
      </c>
      <c r="Y17" s="251">
        <v>0</v>
      </c>
      <c r="Z17" s="251">
        <v>1.2</v>
      </c>
      <c r="AA17" s="251"/>
      <c r="AB17" s="251"/>
      <c r="AC17" s="251"/>
      <c r="AD17" s="251"/>
      <c r="AE17" s="251"/>
      <c r="AF17" s="251"/>
      <c r="AG17" s="251"/>
      <c r="AH17" s="251"/>
      <c r="AI17" s="251"/>
      <c r="AJ17" s="251"/>
      <c r="AK17" s="251"/>
      <c r="AL17" s="251"/>
      <c r="AM17" s="251"/>
      <c r="AN17" s="251"/>
      <c r="AO17" s="251"/>
      <c r="AP17" s="251"/>
      <c r="AQ17" s="251"/>
      <c r="AR17" s="251"/>
      <c r="AS17" s="251"/>
      <c r="AT17" s="251"/>
      <c r="AU17" s="251"/>
      <c r="AV17" s="251"/>
      <c r="AW17" s="251"/>
      <c r="AX17" s="251"/>
      <c r="AY17" s="251"/>
      <c r="AZ17" s="251"/>
      <c r="BA17" s="251"/>
      <c r="BB17" s="9">
        <v>276490</v>
      </c>
      <c r="BC17" s="9"/>
      <c r="BD17" s="9"/>
      <c r="BE17" s="9">
        <f t="shared" si="0"/>
        <v>-276490</v>
      </c>
      <c r="BF17" s="3">
        <v>55.5</v>
      </c>
      <c r="BG17" s="3">
        <v>1.1000000000000001</v>
      </c>
      <c r="BH17" s="3">
        <f t="shared" si="1"/>
        <v>61.050000000000004</v>
      </c>
      <c r="BI17" s="3">
        <v>61.4</v>
      </c>
      <c r="BJ17" s="3">
        <v>1.1000000000000001</v>
      </c>
      <c r="BK17" s="3">
        <f t="shared" si="2"/>
        <v>67.540000000000006</v>
      </c>
      <c r="BM17" s="8"/>
      <c r="BO17" s="6"/>
      <c r="BP17" s="6"/>
    </row>
    <row r="18" spans="1:68">
      <c r="A18" s="3" t="s">
        <v>1211</v>
      </c>
      <c r="B18" s="251">
        <v>269.77999999999997</v>
      </c>
      <c r="C18" s="251">
        <v>41.25</v>
      </c>
      <c r="D18" s="251">
        <v>6.32</v>
      </c>
      <c r="E18" s="251">
        <v>13.24</v>
      </c>
      <c r="F18" s="251"/>
      <c r="G18" s="251"/>
      <c r="H18" s="251">
        <v>3</v>
      </c>
      <c r="I18" s="251"/>
      <c r="J18" s="251">
        <v>6.69</v>
      </c>
      <c r="K18" s="251">
        <v>41.9</v>
      </c>
      <c r="L18" s="251">
        <v>9.02</v>
      </c>
      <c r="M18" s="251">
        <v>11.26</v>
      </c>
      <c r="N18" s="251">
        <v>51.01</v>
      </c>
      <c r="O18" s="251">
        <v>75.349999999999994</v>
      </c>
      <c r="P18" s="251">
        <v>3.75</v>
      </c>
      <c r="Q18" s="251">
        <v>2.75</v>
      </c>
      <c r="R18" s="251">
        <v>2.75</v>
      </c>
      <c r="S18" s="251">
        <v>2.7</v>
      </c>
      <c r="T18" s="251">
        <v>0.9</v>
      </c>
      <c r="U18" s="251">
        <v>1</v>
      </c>
      <c r="V18" s="251">
        <v>0.9</v>
      </c>
      <c r="W18" s="251">
        <v>1</v>
      </c>
      <c r="X18" s="251">
        <v>0</v>
      </c>
      <c r="Y18" s="251">
        <v>0</v>
      </c>
      <c r="Z18" s="251">
        <v>1.2</v>
      </c>
      <c r="AA18" s="251"/>
      <c r="AB18" s="251"/>
      <c r="AC18" s="251"/>
      <c r="AD18" s="251"/>
      <c r="AE18" s="251"/>
      <c r="AF18" s="251"/>
      <c r="AG18" s="251"/>
      <c r="AH18" s="251"/>
      <c r="AI18" s="251"/>
      <c r="AJ18" s="251"/>
      <c r="AK18" s="251"/>
      <c r="AL18" s="251"/>
      <c r="AM18" s="251"/>
      <c r="AN18" s="251"/>
      <c r="AO18" s="251"/>
      <c r="AP18" s="251"/>
      <c r="AQ18" s="251"/>
      <c r="AR18" s="251"/>
      <c r="AS18" s="251"/>
      <c r="AT18" s="251"/>
      <c r="AU18" s="251"/>
      <c r="AV18" s="251"/>
      <c r="AW18" s="251"/>
      <c r="AX18" s="251"/>
      <c r="AY18" s="251"/>
      <c r="AZ18" s="251"/>
      <c r="BA18" s="251"/>
      <c r="BB18" s="9">
        <v>282770</v>
      </c>
      <c r="BC18" s="9"/>
      <c r="BD18" s="9"/>
      <c r="BE18" s="9">
        <f t="shared" si="0"/>
        <v>-282770</v>
      </c>
      <c r="BF18" s="3">
        <v>52.9</v>
      </c>
      <c r="BG18" s="3">
        <v>1.1000000000000001</v>
      </c>
      <c r="BH18" s="3">
        <f t="shared" si="1"/>
        <v>58.190000000000005</v>
      </c>
      <c r="BI18" s="3">
        <v>64</v>
      </c>
      <c r="BJ18" s="3">
        <v>1.1000000000000001</v>
      </c>
      <c r="BK18" s="3">
        <f t="shared" si="2"/>
        <v>70.400000000000006</v>
      </c>
      <c r="BM18" s="8"/>
      <c r="BO18" s="6"/>
      <c r="BP18" s="6"/>
    </row>
    <row r="19" spans="1:68">
      <c r="A19" s="3" t="s">
        <v>1212</v>
      </c>
      <c r="B19" s="251">
        <v>201.44</v>
      </c>
      <c r="C19" s="251">
        <v>41.23</v>
      </c>
      <c r="D19" s="251">
        <v>7.14</v>
      </c>
      <c r="E19" s="251">
        <v>28.76</v>
      </c>
      <c r="F19" s="251"/>
      <c r="G19" s="251"/>
      <c r="H19" s="251">
        <v>4</v>
      </c>
      <c r="I19" s="251"/>
      <c r="J19" s="251">
        <v>6.6349999999999998</v>
      </c>
      <c r="K19" s="251">
        <v>45.2</v>
      </c>
      <c r="L19" s="251">
        <v>22.53</v>
      </c>
      <c r="M19" s="251">
        <v>20.6</v>
      </c>
      <c r="N19" s="251">
        <v>55.19</v>
      </c>
      <c r="O19" s="251">
        <v>92.7</v>
      </c>
      <c r="P19" s="251">
        <v>6.78</v>
      </c>
      <c r="Q19" s="251">
        <v>2.75</v>
      </c>
      <c r="R19" s="251">
        <v>2.75</v>
      </c>
      <c r="S19" s="251">
        <v>2.7</v>
      </c>
      <c r="T19" s="251">
        <v>0.9</v>
      </c>
      <c r="U19" s="251">
        <v>1</v>
      </c>
      <c r="V19" s="251">
        <v>0.9</v>
      </c>
      <c r="W19" s="251">
        <v>1</v>
      </c>
      <c r="X19" s="251">
        <v>1.2</v>
      </c>
      <c r="Y19" s="251">
        <v>1</v>
      </c>
      <c r="Z19" s="251">
        <v>1.2</v>
      </c>
      <c r="AA19" s="251"/>
      <c r="AB19" s="251"/>
      <c r="AC19" s="251"/>
      <c r="AD19" s="251"/>
      <c r="AE19" s="251"/>
      <c r="AF19" s="251"/>
      <c r="AG19" s="251"/>
      <c r="AH19" s="251"/>
      <c r="AI19" s="251"/>
      <c r="AJ19" s="251"/>
      <c r="AK19" s="251"/>
      <c r="AL19" s="251"/>
      <c r="AM19" s="251"/>
      <c r="AN19" s="251"/>
      <c r="AO19" s="251"/>
      <c r="AP19" s="251"/>
      <c r="AQ19" s="251"/>
      <c r="AR19" s="251"/>
      <c r="AS19" s="251"/>
      <c r="AT19" s="251"/>
      <c r="AU19" s="251"/>
      <c r="AV19" s="251"/>
      <c r="AW19" s="251"/>
      <c r="AX19" s="251"/>
      <c r="AY19" s="251"/>
      <c r="AZ19" s="251"/>
      <c r="BA19" s="251"/>
      <c r="BB19" s="9">
        <v>304150</v>
      </c>
      <c r="BC19" s="9"/>
      <c r="BD19" s="9"/>
      <c r="BE19" s="9">
        <f t="shared" si="0"/>
        <v>-304150</v>
      </c>
      <c r="BF19" s="3">
        <v>69.3</v>
      </c>
      <c r="BG19" s="3">
        <v>1.1000000000000001</v>
      </c>
      <c r="BH19" s="3">
        <f t="shared" si="1"/>
        <v>76.23</v>
      </c>
      <c r="BI19" s="3">
        <v>73.3</v>
      </c>
      <c r="BJ19" s="3">
        <v>1.1000000000000001</v>
      </c>
      <c r="BK19" s="3">
        <f t="shared" si="2"/>
        <v>80.63000000000001</v>
      </c>
      <c r="BM19" s="8"/>
      <c r="BO19" s="6"/>
      <c r="BP19" s="6"/>
    </row>
    <row r="20" spans="1:68">
      <c r="A20" s="3" t="s">
        <v>1213</v>
      </c>
      <c r="B20" s="251"/>
      <c r="C20" s="251"/>
      <c r="D20" s="251"/>
      <c r="E20" s="251"/>
      <c r="F20" s="251"/>
      <c r="G20" s="251"/>
      <c r="H20" s="251"/>
      <c r="I20" s="251"/>
      <c r="J20" s="251"/>
      <c r="K20" s="251"/>
      <c r="L20" s="251"/>
      <c r="M20" s="251"/>
      <c r="N20" s="251"/>
      <c r="O20" s="251"/>
      <c r="P20" s="251"/>
      <c r="Q20" s="251"/>
      <c r="R20" s="251"/>
      <c r="S20" s="251"/>
      <c r="T20" s="251"/>
      <c r="U20" s="251"/>
      <c r="V20" s="251"/>
      <c r="W20" s="251"/>
      <c r="X20" s="251"/>
      <c r="Y20" s="251"/>
      <c r="Z20" s="251"/>
      <c r="AA20" s="251"/>
      <c r="AB20" s="251"/>
      <c r="AC20" s="251"/>
      <c r="AD20" s="251"/>
      <c r="AE20" s="251"/>
      <c r="AF20" s="251"/>
      <c r="AG20" s="251"/>
      <c r="AH20" s="251"/>
      <c r="AI20" s="251"/>
      <c r="AJ20" s="251"/>
      <c r="AK20" s="251"/>
      <c r="AL20" s="251"/>
      <c r="AM20" s="251"/>
      <c r="AN20" s="251"/>
      <c r="AO20" s="251"/>
      <c r="AP20" s="251"/>
      <c r="AQ20" s="251"/>
      <c r="AR20" s="251"/>
      <c r="AS20" s="251"/>
      <c r="AT20" s="251"/>
      <c r="AU20" s="251"/>
      <c r="AV20" s="251"/>
      <c r="AW20" s="251"/>
      <c r="AX20" s="251"/>
      <c r="AY20" s="251"/>
      <c r="AZ20" s="251"/>
      <c r="BA20" s="251"/>
      <c r="BB20" s="9">
        <v>332790</v>
      </c>
      <c r="BC20" s="9"/>
      <c r="BD20" s="9"/>
      <c r="BE20" s="9">
        <f t="shared" si="0"/>
        <v>-332790</v>
      </c>
      <c r="BF20" s="3">
        <v>68</v>
      </c>
      <c r="BG20" s="3">
        <v>1.1000000000000001</v>
      </c>
      <c r="BH20" s="3">
        <f t="shared" ref="BH20" si="3">+BG20*BF20</f>
        <v>74.800000000000011</v>
      </c>
      <c r="BI20" s="3">
        <v>89.1</v>
      </c>
      <c r="BJ20" s="3">
        <v>1.1000000000000001</v>
      </c>
      <c r="BK20" s="3">
        <f t="shared" ref="BK20" si="4">+BJ20*BI20</f>
        <v>98.01</v>
      </c>
      <c r="BM20" s="8"/>
      <c r="BO20" s="6"/>
      <c r="BP20" s="6"/>
    </row>
    <row r="21" spans="1:68">
      <c r="B21" s="251">
        <v>228.94</v>
      </c>
      <c r="C21" s="251">
        <v>41.16</v>
      </c>
      <c r="D21" s="251">
        <v>7.38</v>
      </c>
      <c r="E21" s="251">
        <v>37.68</v>
      </c>
      <c r="F21" s="251"/>
      <c r="G21" s="251"/>
      <c r="H21" s="251">
        <v>4</v>
      </c>
      <c r="I21" s="251"/>
      <c r="J21" s="251">
        <v>6.64</v>
      </c>
      <c r="K21" s="251">
        <v>47.261000000000003</v>
      </c>
      <c r="L21" s="251">
        <v>25.68</v>
      </c>
      <c r="M21" s="251">
        <v>24.465</v>
      </c>
      <c r="N21" s="251">
        <v>60</v>
      </c>
      <c r="O21" s="251">
        <v>101</v>
      </c>
      <c r="P21" s="251">
        <v>6.7</v>
      </c>
      <c r="Q21" s="251">
        <v>2.85</v>
      </c>
      <c r="R21" s="251">
        <v>2.85</v>
      </c>
      <c r="S21" s="251">
        <v>2.7</v>
      </c>
      <c r="T21" s="251">
        <v>0.9</v>
      </c>
      <c r="U21" s="251">
        <v>1</v>
      </c>
      <c r="V21" s="251">
        <v>0.9</v>
      </c>
      <c r="W21" s="251">
        <v>1</v>
      </c>
      <c r="X21" s="252">
        <v>1.33</v>
      </c>
      <c r="Y21" s="251">
        <v>1</v>
      </c>
      <c r="Z21" s="251">
        <v>1.2</v>
      </c>
      <c r="AA21" s="251"/>
      <c r="AB21" s="251"/>
      <c r="AC21" s="251"/>
      <c r="AD21" s="251"/>
      <c r="AE21" s="251"/>
      <c r="AF21" s="251"/>
      <c r="AG21" s="251"/>
      <c r="AH21" s="251"/>
      <c r="AI21" s="251"/>
      <c r="AJ21" s="251"/>
      <c r="AK21" s="251"/>
      <c r="AL21" s="251"/>
      <c r="AM21" s="251"/>
      <c r="AN21" s="251"/>
      <c r="AO21" s="251"/>
      <c r="AP21" s="251"/>
      <c r="AQ21" s="251"/>
      <c r="AR21" s="251"/>
      <c r="AS21" s="251"/>
      <c r="AT21" s="251"/>
      <c r="AU21" s="251"/>
      <c r="AV21" s="251"/>
      <c r="AW21" s="251"/>
      <c r="AX21" s="251"/>
      <c r="AY21" s="251"/>
      <c r="AZ21" s="251"/>
      <c r="BA21" s="251"/>
      <c r="BB21" s="9"/>
      <c r="BC21" s="9"/>
      <c r="BD21" s="9"/>
      <c r="BE21" s="9">
        <f t="shared" si="0"/>
        <v>0</v>
      </c>
      <c r="BG21" s="3">
        <v>1.1000000000000001</v>
      </c>
      <c r="BH21" s="3">
        <f t="shared" si="1"/>
        <v>0</v>
      </c>
      <c r="BJ21" s="3">
        <v>1.1000000000000001</v>
      </c>
      <c r="BK21" s="3">
        <f t="shared" si="2"/>
        <v>0</v>
      </c>
      <c r="BM21" s="8"/>
      <c r="BO21" s="6"/>
      <c r="BP21" s="6"/>
    </row>
    <row r="22" spans="1:68">
      <c r="B22" s="251">
        <v>126.99</v>
      </c>
      <c r="C22" s="251">
        <v>38.549999999999997</v>
      </c>
      <c r="D22" s="251">
        <v>5.03</v>
      </c>
      <c r="E22" s="251">
        <v>9.24</v>
      </c>
      <c r="F22" s="251"/>
      <c r="G22" s="251"/>
      <c r="H22" s="251">
        <v>2</v>
      </c>
      <c r="I22" s="251"/>
      <c r="J22" s="251">
        <v>6.08</v>
      </c>
      <c r="K22" s="251">
        <v>40.75</v>
      </c>
      <c r="L22" s="251">
        <v>10.6</v>
      </c>
      <c r="M22" s="251">
        <v>9.32</v>
      </c>
      <c r="N22" s="251">
        <v>44.06</v>
      </c>
      <c r="O22" s="251">
        <v>51.35</v>
      </c>
      <c r="P22" s="251">
        <v>4.0599999999999996</v>
      </c>
      <c r="Q22" s="251">
        <v>2.2400000000000002</v>
      </c>
      <c r="R22" s="251">
        <v>2.2400000000000002</v>
      </c>
      <c r="S22" s="251">
        <v>2.7</v>
      </c>
      <c r="T22" s="251">
        <v>0.9</v>
      </c>
      <c r="U22" s="251">
        <v>1</v>
      </c>
      <c r="V22" s="251">
        <v>0.9</v>
      </c>
      <c r="W22" s="251">
        <v>1</v>
      </c>
      <c r="X22" s="251">
        <v>0</v>
      </c>
      <c r="Y22" s="251">
        <v>0</v>
      </c>
      <c r="Z22" s="251">
        <v>1.2</v>
      </c>
      <c r="AA22" s="251"/>
      <c r="AB22" s="251"/>
      <c r="AC22" s="251"/>
      <c r="AD22" s="251"/>
      <c r="AE22" s="251"/>
      <c r="AF22" s="251"/>
      <c r="AG22" s="251"/>
      <c r="AH22" s="251"/>
      <c r="AI22" s="251"/>
      <c r="AJ22" s="251"/>
      <c r="AK22" s="251"/>
      <c r="AL22" s="251"/>
      <c r="AM22" s="251"/>
      <c r="AN22" s="251"/>
      <c r="AO22" s="251"/>
      <c r="AP22" s="251"/>
      <c r="AQ22" s="251"/>
      <c r="AR22" s="251"/>
      <c r="AS22" s="251"/>
      <c r="AT22" s="251"/>
      <c r="AU22" s="251"/>
      <c r="AV22" s="251"/>
      <c r="AW22" s="251"/>
      <c r="AX22" s="251"/>
      <c r="AY22" s="251"/>
      <c r="AZ22" s="251"/>
      <c r="BA22" s="251"/>
      <c r="BB22" s="9"/>
      <c r="BC22" s="9"/>
      <c r="BD22" s="9"/>
      <c r="BE22" s="9">
        <f t="shared" si="0"/>
        <v>0</v>
      </c>
      <c r="BG22" s="3">
        <v>1.1000000000000001</v>
      </c>
      <c r="BH22" s="3">
        <f t="shared" si="1"/>
        <v>0</v>
      </c>
      <c r="BJ22" s="3">
        <v>1.1000000000000001</v>
      </c>
      <c r="BK22" s="3">
        <f t="shared" si="2"/>
        <v>0</v>
      </c>
      <c r="BM22" s="8"/>
      <c r="BO22" s="6"/>
      <c r="BP22" s="6"/>
    </row>
    <row r="23" spans="1:68">
      <c r="B23" s="251"/>
      <c r="C23" s="251"/>
      <c r="D23" s="251"/>
      <c r="E23" s="251"/>
      <c r="F23" s="251"/>
      <c r="G23" s="251"/>
      <c r="H23" s="251"/>
      <c r="I23" s="251"/>
      <c r="J23" s="251"/>
      <c r="K23" s="251"/>
      <c r="L23" s="251"/>
      <c r="M23" s="251"/>
      <c r="N23" s="251"/>
      <c r="O23" s="251"/>
      <c r="P23" s="251"/>
      <c r="Q23" s="251"/>
      <c r="R23" s="251"/>
      <c r="S23" s="251"/>
      <c r="T23" s="251"/>
      <c r="U23" s="251"/>
      <c r="V23" s="251"/>
      <c r="W23" s="251"/>
      <c r="X23" s="251"/>
      <c r="Y23" s="251"/>
      <c r="Z23" s="251"/>
      <c r="AA23" s="251"/>
      <c r="AB23" s="251"/>
      <c r="AC23" s="251"/>
      <c r="AD23" s="251"/>
      <c r="AE23" s="251"/>
      <c r="AF23" s="251"/>
      <c r="AG23" s="251"/>
      <c r="AH23" s="251"/>
      <c r="AI23" s="251"/>
      <c r="AJ23" s="251"/>
      <c r="AK23" s="251"/>
      <c r="AL23" s="251"/>
      <c r="AM23" s="251"/>
      <c r="AN23" s="251"/>
      <c r="AO23" s="251"/>
      <c r="AP23" s="251"/>
      <c r="AQ23" s="251"/>
      <c r="AR23" s="251"/>
      <c r="AS23" s="251"/>
      <c r="AT23" s="251"/>
      <c r="AU23" s="251"/>
      <c r="AV23" s="251"/>
      <c r="AW23" s="251"/>
      <c r="AX23" s="251"/>
      <c r="AY23" s="251"/>
      <c r="AZ23" s="251"/>
      <c r="BA23" s="251"/>
      <c r="BB23" s="9"/>
      <c r="BC23" s="9"/>
      <c r="BD23" s="9"/>
      <c r="BE23" s="9">
        <f t="shared" si="0"/>
        <v>0</v>
      </c>
      <c r="BG23" s="3">
        <v>1.1000000000000001</v>
      </c>
      <c r="BH23" s="3">
        <f t="shared" ref="BH23" si="5">+BG23*BF23</f>
        <v>0</v>
      </c>
      <c r="BJ23" s="3">
        <v>1.1000000000000001</v>
      </c>
      <c r="BK23" s="3">
        <f t="shared" ref="BK23" si="6">+BJ23*BI23</f>
        <v>0</v>
      </c>
      <c r="BM23" s="8"/>
      <c r="BO23" s="6"/>
      <c r="BP23" s="6"/>
    </row>
    <row r="24" spans="1:68">
      <c r="B24" s="251">
        <v>155.58000000000001</v>
      </c>
      <c r="C24" s="251">
        <v>37.549999999999997</v>
      </c>
      <c r="D24" s="251">
        <v>4.13</v>
      </c>
      <c r="E24" s="251">
        <v>10.65</v>
      </c>
      <c r="F24" s="251"/>
      <c r="G24" s="251"/>
      <c r="H24" s="251">
        <v>2</v>
      </c>
      <c r="I24" s="251"/>
      <c r="J24" s="251">
        <v>6.9</v>
      </c>
      <c r="K24" s="251">
        <v>41.15</v>
      </c>
      <c r="L24" s="251">
        <v>11.14</v>
      </c>
      <c r="M24" s="251">
        <v>11.64</v>
      </c>
      <c r="N24" s="251">
        <v>48.69</v>
      </c>
      <c r="O24" s="251">
        <v>66.87</v>
      </c>
      <c r="P24" s="251">
        <v>2.7</v>
      </c>
      <c r="Q24" s="251">
        <v>1.8</v>
      </c>
      <c r="R24" s="251">
        <v>1.8</v>
      </c>
      <c r="S24" s="251">
        <v>2.7</v>
      </c>
      <c r="T24" s="251">
        <v>0.9</v>
      </c>
      <c r="U24" s="251">
        <v>1</v>
      </c>
      <c r="V24" s="251">
        <v>0.9</v>
      </c>
      <c r="W24" s="251">
        <v>1</v>
      </c>
      <c r="X24" s="251">
        <v>0</v>
      </c>
      <c r="Y24" s="251">
        <v>0</v>
      </c>
      <c r="Z24" s="251">
        <v>1.2</v>
      </c>
      <c r="AA24" s="251"/>
      <c r="AB24" s="251"/>
      <c r="AC24" s="251"/>
      <c r="AD24" s="251"/>
      <c r="AE24" s="251"/>
      <c r="AF24" s="251"/>
      <c r="AG24" s="251"/>
      <c r="AH24" s="251"/>
      <c r="AI24" s="251"/>
      <c r="AJ24" s="251"/>
      <c r="AK24" s="251"/>
      <c r="AL24" s="251"/>
      <c r="AM24" s="251"/>
      <c r="AN24" s="251"/>
      <c r="AO24" s="251"/>
      <c r="AP24" s="251"/>
      <c r="AQ24" s="251"/>
      <c r="AR24" s="251"/>
      <c r="AS24" s="251"/>
      <c r="AT24" s="251"/>
      <c r="AU24" s="251"/>
      <c r="AV24" s="251"/>
      <c r="AW24" s="251"/>
      <c r="AX24" s="251"/>
      <c r="AY24" s="251"/>
      <c r="AZ24" s="251"/>
      <c r="BA24" s="251"/>
      <c r="BB24" s="9"/>
      <c r="BC24" s="9"/>
      <c r="BD24" s="9"/>
      <c r="BE24" s="9">
        <f t="shared" si="0"/>
        <v>0</v>
      </c>
      <c r="BG24" s="3">
        <v>1.1000000000000001</v>
      </c>
      <c r="BH24" s="3">
        <f t="shared" si="1"/>
        <v>0</v>
      </c>
      <c r="BJ24" s="3">
        <v>1.1000000000000001</v>
      </c>
      <c r="BK24" s="3">
        <f t="shared" si="2"/>
        <v>0</v>
      </c>
      <c r="BM24" s="8"/>
      <c r="BO24" s="6"/>
      <c r="BP24" s="6"/>
    </row>
    <row r="25" spans="1:68">
      <c r="B25" s="251"/>
      <c r="C25" s="251"/>
      <c r="D25" s="251"/>
      <c r="E25" s="251"/>
      <c r="F25" s="251"/>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51"/>
      <c r="AO25" s="251"/>
      <c r="AP25" s="251"/>
      <c r="AQ25" s="251"/>
      <c r="AR25" s="251"/>
      <c r="AS25" s="251"/>
      <c r="AT25" s="251"/>
      <c r="AU25" s="251"/>
      <c r="AV25" s="251"/>
      <c r="AW25" s="251"/>
      <c r="AX25" s="251"/>
      <c r="AY25" s="251"/>
      <c r="AZ25" s="251"/>
      <c r="BA25" s="251"/>
      <c r="BB25" s="9"/>
      <c r="BC25" s="9"/>
      <c r="BD25" s="9"/>
      <c r="BE25" s="9"/>
      <c r="BM25" s="8"/>
      <c r="BO25" s="6"/>
      <c r="BP25" s="6"/>
    </row>
    <row r="26" spans="1:68">
      <c r="B26" s="251"/>
      <c r="C26" s="251"/>
      <c r="D26" s="251"/>
      <c r="E26" s="251"/>
      <c r="F26" s="251"/>
      <c r="G26" s="251"/>
      <c r="H26" s="251"/>
      <c r="I26" s="251"/>
      <c r="J26" s="251"/>
      <c r="K26" s="251"/>
      <c r="L26" s="251"/>
      <c r="M26" s="251"/>
      <c r="N26" s="251"/>
      <c r="O26" s="251"/>
      <c r="P26" s="251"/>
      <c r="Q26" s="251"/>
      <c r="R26" s="251"/>
      <c r="S26" s="251"/>
      <c r="T26" s="251"/>
      <c r="U26" s="251"/>
      <c r="V26" s="251"/>
      <c r="W26" s="251"/>
      <c r="X26" s="251"/>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251"/>
      <c r="AV26" s="251"/>
      <c r="AW26" s="251"/>
      <c r="AX26" s="251"/>
      <c r="AY26" s="251"/>
      <c r="AZ26" s="251"/>
      <c r="BA26" s="251"/>
      <c r="BB26" s="9"/>
      <c r="BC26" s="9"/>
      <c r="BD26" s="9"/>
      <c r="BE26" s="9"/>
      <c r="BM26" s="8"/>
      <c r="BO26" s="6"/>
      <c r="BP26" s="6"/>
    </row>
    <row r="27" spans="1:68">
      <c r="B27" s="251"/>
      <c r="C27" s="251"/>
      <c r="D27" s="251"/>
      <c r="E27" s="251"/>
      <c r="F27" s="251"/>
      <c r="G27" s="251"/>
      <c r="H27" s="251"/>
      <c r="I27" s="251"/>
      <c r="J27" s="251"/>
      <c r="K27" s="251"/>
      <c r="L27" s="251"/>
      <c r="M27" s="251"/>
      <c r="N27" s="251"/>
      <c r="O27" s="251"/>
      <c r="P27" s="251"/>
      <c r="Q27" s="251"/>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51"/>
      <c r="AO27" s="251"/>
      <c r="AP27" s="251"/>
      <c r="AQ27" s="251"/>
      <c r="AR27" s="251"/>
      <c r="AS27" s="251"/>
      <c r="AT27" s="251"/>
      <c r="AU27" s="251"/>
      <c r="AV27" s="251"/>
      <c r="AW27" s="251"/>
      <c r="AX27" s="251"/>
      <c r="AY27" s="251"/>
      <c r="AZ27" s="251"/>
      <c r="BA27" s="251"/>
      <c r="BB27" s="9"/>
      <c r="BC27" s="9"/>
      <c r="BD27" s="9"/>
      <c r="BE27" s="9"/>
      <c r="BM27" s="8"/>
      <c r="BO27" s="6"/>
      <c r="BP27" s="6"/>
    </row>
    <row r="28" spans="1:68">
      <c r="B28" s="251"/>
      <c r="C28" s="251"/>
      <c r="D28" s="251"/>
      <c r="E28" s="251"/>
      <c r="F28" s="251"/>
      <c r="G28" s="251"/>
      <c r="H28" s="251"/>
      <c r="I28" s="251"/>
      <c r="J28" s="251"/>
      <c r="K28" s="251"/>
      <c r="L28" s="251"/>
      <c r="M28" s="251"/>
      <c r="N28" s="251"/>
      <c r="O28" s="251"/>
      <c r="P28" s="251"/>
      <c r="Q28" s="251"/>
      <c r="R28" s="251"/>
      <c r="S28" s="251"/>
      <c r="T28" s="251"/>
      <c r="U28" s="251"/>
      <c r="V28" s="251"/>
      <c r="W28" s="251"/>
      <c r="X28" s="251"/>
      <c r="Y28" s="251"/>
      <c r="Z28" s="251"/>
      <c r="AA28" s="251"/>
      <c r="AB28" s="251"/>
      <c r="AC28" s="251"/>
      <c r="AD28" s="251"/>
      <c r="AE28" s="251"/>
      <c r="AF28" s="251"/>
      <c r="AG28" s="251"/>
      <c r="AH28" s="251"/>
      <c r="AI28" s="251"/>
      <c r="AJ28" s="251"/>
      <c r="AK28" s="251"/>
      <c r="AL28" s="251"/>
      <c r="AM28" s="251"/>
      <c r="AN28" s="251"/>
      <c r="AO28" s="251"/>
      <c r="AP28" s="251"/>
      <c r="AQ28" s="251"/>
      <c r="AR28" s="251"/>
      <c r="AS28" s="251"/>
      <c r="AT28" s="251"/>
      <c r="AU28" s="251"/>
      <c r="AV28" s="251"/>
      <c r="AW28" s="251"/>
      <c r="AX28" s="251"/>
      <c r="AY28" s="251"/>
      <c r="AZ28" s="251"/>
      <c r="BA28" s="251"/>
      <c r="BB28" s="9"/>
      <c r="BC28" s="9"/>
      <c r="BD28" s="9"/>
      <c r="BE28" s="9"/>
      <c r="BM28" s="8"/>
      <c r="BO28" s="6"/>
      <c r="BP28" s="6"/>
    </row>
    <row r="29" spans="1:68">
      <c r="B29" s="251"/>
      <c r="C29" s="251"/>
      <c r="D29" s="251"/>
      <c r="E29" s="251"/>
      <c r="F29" s="251"/>
      <c r="G29" s="251"/>
      <c r="H29" s="251"/>
      <c r="I29" s="251"/>
      <c r="J29" s="251"/>
      <c r="K29" s="251"/>
      <c r="L29" s="251"/>
      <c r="M29" s="251"/>
      <c r="N29" s="251"/>
      <c r="O29" s="251"/>
      <c r="P29" s="251"/>
      <c r="Q29" s="251"/>
      <c r="R29" s="251"/>
      <c r="S29" s="251"/>
      <c r="T29" s="251"/>
      <c r="U29" s="251"/>
      <c r="V29" s="251"/>
      <c r="W29" s="251"/>
      <c r="X29" s="251"/>
      <c r="Y29" s="251"/>
      <c r="Z29" s="252"/>
      <c r="AA29" s="251"/>
      <c r="AB29" s="251"/>
      <c r="AC29" s="251"/>
      <c r="AD29" s="251"/>
      <c r="AE29" s="251"/>
      <c r="AF29" s="251"/>
      <c r="AG29" s="251"/>
      <c r="AH29" s="251"/>
      <c r="AI29" s="251"/>
      <c r="AJ29" s="251"/>
      <c r="AK29" s="251"/>
      <c r="AL29" s="251"/>
      <c r="AM29" s="251"/>
      <c r="AN29" s="251"/>
      <c r="AO29" s="251"/>
      <c r="AP29" s="251"/>
      <c r="AQ29" s="251"/>
      <c r="AR29" s="251"/>
      <c r="AS29" s="251"/>
      <c r="AT29" s="251"/>
      <c r="AU29" s="251"/>
      <c r="AV29" s="251"/>
      <c r="AW29" s="251"/>
      <c r="AX29" s="251"/>
      <c r="AY29" s="251"/>
      <c r="AZ29" s="251"/>
      <c r="BA29" s="251"/>
      <c r="BB29" s="9"/>
      <c r="BC29" s="9"/>
      <c r="BD29" s="9"/>
      <c r="BE29" s="9"/>
      <c r="BM29" s="8"/>
      <c r="BO29" s="6"/>
      <c r="BP29" s="6"/>
    </row>
    <row r="30" spans="1:68">
      <c r="B30" s="251"/>
      <c r="C30" s="251"/>
      <c r="D30" s="251"/>
      <c r="E30" s="251"/>
      <c r="F30" s="251"/>
      <c r="G30" s="251"/>
      <c r="H30" s="251"/>
      <c r="I30" s="251"/>
      <c r="J30" s="251"/>
      <c r="K30" s="251"/>
      <c r="L30" s="251"/>
      <c r="M30" s="251"/>
      <c r="N30" s="251"/>
      <c r="O30" s="251"/>
      <c r="P30" s="251"/>
      <c r="Q30" s="251"/>
      <c r="R30" s="251"/>
      <c r="S30" s="251"/>
      <c r="T30" s="251"/>
      <c r="U30" s="251"/>
      <c r="V30" s="251"/>
      <c r="W30" s="251"/>
      <c r="X30" s="251"/>
      <c r="Y30" s="251"/>
      <c r="Z30" s="251"/>
      <c r="AA30" s="251"/>
      <c r="AB30" s="251"/>
      <c r="AC30" s="251"/>
      <c r="AD30" s="251"/>
      <c r="AE30" s="251"/>
      <c r="AF30" s="251"/>
      <c r="AG30" s="251"/>
      <c r="AH30" s="251"/>
      <c r="AI30" s="251"/>
      <c r="AJ30" s="251"/>
      <c r="AK30" s="251"/>
      <c r="AL30" s="251"/>
      <c r="AM30" s="251"/>
      <c r="AN30" s="251"/>
      <c r="AO30" s="251"/>
      <c r="AP30" s="251"/>
      <c r="AQ30" s="251"/>
      <c r="AR30" s="251"/>
      <c r="AS30" s="251"/>
      <c r="AT30" s="251"/>
      <c r="AU30" s="251"/>
      <c r="AV30" s="251"/>
      <c r="AW30" s="251"/>
      <c r="AX30" s="251"/>
      <c r="AY30" s="251"/>
      <c r="AZ30" s="251"/>
      <c r="BA30" s="251"/>
      <c r="BB30" s="9"/>
      <c r="BC30" s="9"/>
      <c r="BD30" s="9"/>
      <c r="BE30" s="9"/>
      <c r="BM30" s="8"/>
      <c r="BO30" s="6"/>
      <c r="BP30" s="6"/>
    </row>
    <row r="31" spans="1:68">
      <c r="B31" s="251"/>
      <c r="C31" s="251"/>
      <c r="D31" s="251"/>
      <c r="E31" s="251"/>
      <c r="F31" s="251"/>
      <c r="G31" s="251"/>
      <c r="H31" s="251"/>
      <c r="I31" s="251"/>
      <c r="J31" s="251"/>
      <c r="K31" s="251"/>
      <c r="L31" s="251"/>
      <c r="M31" s="251"/>
      <c r="N31" s="251"/>
      <c r="O31" s="251"/>
      <c r="P31" s="251"/>
      <c r="Q31" s="251"/>
      <c r="R31" s="251"/>
      <c r="S31" s="251"/>
      <c r="T31" s="251"/>
      <c r="U31" s="251"/>
      <c r="V31" s="251"/>
      <c r="W31" s="251"/>
      <c r="X31" s="251"/>
      <c r="Y31" s="251"/>
      <c r="Z31" s="251"/>
      <c r="AA31" s="251"/>
      <c r="AB31" s="251"/>
      <c r="AC31" s="251"/>
      <c r="AD31" s="251"/>
      <c r="AE31" s="251"/>
      <c r="AF31" s="251"/>
      <c r="AG31" s="251"/>
      <c r="AH31" s="251"/>
      <c r="AI31" s="251"/>
      <c r="AJ31" s="251"/>
      <c r="AK31" s="251"/>
      <c r="AL31" s="251"/>
      <c r="AM31" s="251"/>
      <c r="AN31" s="251"/>
      <c r="AO31" s="251"/>
      <c r="AP31" s="251"/>
      <c r="AQ31" s="251"/>
      <c r="AR31" s="251"/>
      <c r="AS31" s="251"/>
      <c r="AT31" s="251"/>
      <c r="AU31" s="251"/>
      <c r="AV31" s="251"/>
      <c r="AW31" s="251"/>
      <c r="AX31" s="251"/>
      <c r="AY31" s="251"/>
      <c r="AZ31" s="251"/>
      <c r="BA31" s="251"/>
      <c r="BB31" s="319"/>
      <c r="BC31" s="9"/>
      <c r="BD31" s="9"/>
      <c r="BE31" s="9"/>
      <c r="BM31" s="8"/>
      <c r="BO31" s="6"/>
      <c r="BP31" s="6"/>
    </row>
    <row r="32" spans="1:68">
      <c r="B32" s="251"/>
      <c r="C32" s="251"/>
      <c r="D32" s="251"/>
      <c r="E32" s="251"/>
      <c r="F32" s="251"/>
      <c r="G32" s="251"/>
      <c r="H32" s="251"/>
      <c r="I32" s="251"/>
      <c r="J32" s="251"/>
      <c r="K32" s="251"/>
      <c r="L32" s="251"/>
      <c r="M32" s="251"/>
      <c r="N32" s="251"/>
      <c r="O32" s="251"/>
      <c r="P32" s="251"/>
      <c r="Q32" s="251"/>
      <c r="R32" s="251"/>
      <c r="S32" s="251"/>
      <c r="T32" s="251"/>
      <c r="U32" s="251"/>
      <c r="V32" s="251"/>
      <c r="W32" s="251"/>
      <c r="X32" s="251"/>
      <c r="Y32" s="251"/>
      <c r="Z32" s="251"/>
      <c r="AA32" s="251"/>
      <c r="AB32" s="251"/>
      <c r="AC32" s="251"/>
      <c r="AD32" s="251"/>
      <c r="AE32" s="251"/>
      <c r="AF32" s="251"/>
      <c r="AG32" s="251"/>
      <c r="AH32" s="251"/>
      <c r="AI32" s="251"/>
      <c r="AJ32" s="251"/>
      <c r="AK32" s="251"/>
      <c r="AL32" s="251"/>
      <c r="AM32" s="251"/>
      <c r="AN32" s="251"/>
      <c r="AO32" s="251"/>
      <c r="AP32" s="251"/>
      <c r="AQ32" s="251"/>
      <c r="AR32" s="251"/>
      <c r="AS32" s="251"/>
      <c r="AT32" s="251"/>
      <c r="AU32" s="251"/>
      <c r="AV32" s="251"/>
      <c r="AW32" s="251"/>
      <c r="AX32" s="251"/>
      <c r="AY32" s="251"/>
      <c r="AZ32" s="251"/>
      <c r="BA32" s="251"/>
      <c r="BB32" s="9"/>
      <c r="BC32" s="9"/>
      <c r="BD32" s="9"/>
      <c r="BE32" s="9"/>
      <c r="BM32" s="8"/>
      <c r="BO32" s="6"/>
      <c r="BP32" s="6"/>
    </row>
    <row r="33" spans="2:68">
      <c r="B33" s="251"/>
      <c r="C33" s="251"/>
      <c r="D33" s="251"/>
      <c r="E33" s="251"/>
      <c r="F33" s="251"/>
      <c r="G33" s="251"/>
      <c r="H33" s="251"/>
      <c r="I33" s="251"/>
      <c r="J33" s="251"/>
      <c r="K33" s="251"/>
      <c r="L33" s="251"/>
      <c r="M33" s="251"/>
      <c r="N33" s="251"/>
      <c r="O33" s="251"/>
      <c r="P33" s="251"/>
      <c r="Q33" s="251"/>
      <c r="R33" s="251"/>
      <c r="S33" s="251"/>
      <c r="T33" s="251"/>
      <c r="U33" s="251"/>
      <c r="V33" s="251"/>
      <c r="W33" s="251"/>
      <c r="X33" s="251"/>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251"/>
      <c r="AV33" s="251"/>
      <c r="AW33" s="251"/>
      <c r="AX33" s="251"/>
      <c r="AY33" s="251"/>
      <c r="AZ33" s="251"/>
      <c r="BA33" s="251"/>
      <c r="BB33" s="9"/>
      <c r="BC33" s="9"/>
      <c r="BD33" s="9"/>
      <c r="BE33" s="9"/>
      <c r="BM33" s="8"/>
      <c r="BO33" s="6"/>
      <c r="BP33" s="6"/>
    </row>
    <row r="34" spans="2:68">
      <c r="B34" s="251"/>
      <c r="C34" s="251"/>
      <c r="D34" s="251"/>
      <c r="E34" s="251"/>
      <c r="F34" s="251"/>
      <c r="G34" s="251"/>
      <c r="H34" s="251"/>
      <c r="I34" s="251"/>
      <c r="J34" s="251"/>
      <c r="K34" s="251"/>
      <c r="L34" s="251"/>
      <c r="M34" s="251"/>
      <c r="N34" s="251"/>
      <c r="O34" s="251"/>
      <c r="P34" s="251"/>
      <c r="Q34" s="251"/>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9"/>
      <c r="BC34" s="9"/>
      <c r="BD34" s="9"/>
      <c r="BE34" s="9"/>
      <c r="BM34" s="8"/>
      <c r="BO34" s="6"/>
      <c r="BP34" s="6"/>
    </row>
    <row r="35" spans="2:68">
      <c r="B35" s="251"/>
      <c r="C35" s="251"/>
      <c r="D35" s="251"/>
      <c r="E35" s="251"/>
      <c r="F35" s="251"/>
      <c r="G35" s="251"/>
      <c r="H35" s="251"/>
      <c r="I35" s="251"/>
      <c r="J35" s="251"/>
      <c r="K35" s="251"/>
      <c r="L35" s="251"/>
      <c r="M35" s="251"/>
      <c r="N35" s="251"/>
      <c r="O35" s="251"/>
      <c r="P35" s="251"/>
      <c r="Q35" s="251"/>
      <c r="R35" s="251"/>
      <c r="S35" s="251"/>
      <c r="T35" s="251"/>
      <c r="U35" s="251"/>
      <c r="V35" s="251"/>
      <c r="W35" s="251"/>
      <c r="X35" s="251"/>
      <c r="Y35" s="251"/>
      <c r="Z35" s="251"/>
      <c r="AA35" s="251"/>
      <c r="AB35" s="251"/>
      <c r="AC35" s="251"/>
      <c r="AD35" s="251"/>
      <c r="AE35" s="251"/>
      <c r="AF35" s="251"/>
      <c r="AG35" s="251"/>
      <c r="AH35" s="251"/>
      <c r="AI35" s="251"/>
      <c r="AJ35" s="251"/>
      <c r="AK35" s="251"/>
      <c r="AL35" s="251"/>
      <c r="AM35" s="251"/>
      <c r="AN35" s="251"/>
      <c r="AO35" s="251"/>
      <c r="AP35" s="251"/>
      <c r="AQ35" s="251"/>
      <c r="AR35" s="251"/>
      <c r="AS35" s="251"/>
      <c r="AT35" s="251"/>
      <c r="AU35" s="251"/>
      <c r="AV35" s="251"/>
      <c r="AW35" s="251"/>
      <c r="AX35" s="251"/>
      <c r="AY35" s="251"/>
      <c r="AZ35" s="251"/>
      <c r="BA35" s="251"/>
      <c r="BB35" s="9"/>
      <c r="BC35" s="9"/>
      <c r="BD35" s="9"/>
      <c r="BE35" s="9"/>
      <c r="BM35" s="8"/>
      <c r="BO35" s="6"/>
      <c r="BP35" s="6"/>
    </row>
    <row r="36" spans="2:68">
      <c r="B36" s="251"/>
      <c r="C36" s="251"/>
      <c r="D36" s="251"/>
      <c r="E36" s="251"/>
      <c r="F36" s="251"/>
      <c r="G36" s="251"/>
      <c r="H36" s="251"/>
      <c r="I36" s="251"/>
      <c r="J36" s="251"/>
      <c r="K36" s="251"/>
      <c r="L36" s="251"/>
      <c r="M36" s="251"/>
      <c r="N36" s="251"/>
      <c r="O36" s="251"/>
      <c r="P36" s="251"/>
      <c r="Q36" s="251"/>
      <c r="R36" s="251"/>
      <c r="S36" s="251"/>
      <c r="T36" s="251"/>
      <c r="U36" s="251"/>
      <c r="V36" s="251"/>
      <c r="W36" s="251"/>
      <c r="X36" s="251"/>
      <c r="Y36" s="251"/>
      <c r="Z36" s="251"/>
      <c r="AA36" s="251"/>
      <c r="AB36" s="251"/>
      <c r="AC36" s="251"/>
      <c r="AD36" s="251"/>
      <c r="AE36" s="251"/>
      <c r="AF36" s="251"/>
      <c r="AG36" s="251"/>
      <c r="AH36" s="251"/>
      <c r="AI36" s="251"/>
      <c r="AJ36" s="251"/>
      <c r="AK36" s="251"/>
      <c r="AL36" s="251"/>
      <c r="AM36" s="251"/>
      <c r="AN36" s="251"/>
      <c r="AO36" s="251"/>
      <c r="AP36" s="251"/>
      <c r="AQ36" s="251"/>
      <c r="AR36" s="251"/>
      <c r="AS36" s="251"/>
      <c r="AT36" s="251"/>
      <c r="AU36" s="251"/>
      <c r="AV36" s="251"/>
      <c r="AW36" s="251"/>
      <c r="AX36" s="251"/>
      <c r="AY36" s="251"/>
      <c r="AZ36" s="251"/>
      <c r="BA36" s="251"/>
      <c r="BB36" s="9"/>
      <c r="BC36" s="9"/>
      <c r="BD36" s="9"/>
      <c r="BE36" s="9"/>
      <c r="BM36" s="8"/>
      <c r="BO36" s="6"/>
      <c r="BP36" s="6"/>
    </row>
    <row r="37" spans="2:68" s="320" customFormat="1">
      <c r="B37" s="321"/>
      <c r="C37" s="321"/>
      <c r="D37" s="321"/>
      <c r="E37" s="321"/>
      <c r="F37" s="321"/>
      <c r="G37" s="321"/>
      <c r="H37" s="321"/>
      <c r="I37" s="321"/>
      <c r="J37" s="321"/>
      <c r="K37" s="321"/>
      <c r="L37" s="321"/>
      <c r="M37" s="321"/>
      <c r="N37" s="321"/>
      <c r="O37" s="321"/>
      <c r="P37" s="321"/>
      <c r="Q37" s="321"/>
      <c r="R37" s="321"/>
      <c r="S37" s="321"/>
      <c r="T37" s="321"/>
      <c r="U37" s="321"/>
      <c r="V37" s="321"/>
      <c r="W37" s="321"/>
      <c r="X37" s="321"/>
      <c r="Y37" s="321"/>
      <c r="Z37" s="321"/>
      <c r="AA37" s="321"/>
      <c r="AB37" s="321"/>
      <c r="AC37" s="321"/>
      <c r="AD37" s="321"/>
      <c r="AE37" s="321"/>
      <c r="AF37" s="321"/>
      <c r="AG37" s="321"/>
      <c r="AH37" s="321"/>
      <c r="AI37" s="321"/>
      <c r="AJ37" s="321"/>
      <c r="AK37" s="321"/>
      <c r="AL37" s="321"/>
      <c r="AM37" s="321"/>
      <c r="AN37" s="321"/>
      <c r="AO37" s="321"/>
      <c r="AP37" s="321"/>
      <c r="AQ37" s="321"/>
      <c r="AR37" s="321"/>
      <c r="AS37" s="321"/>
      <c r="AT37" s="321"/>
      <c r="AU37" s="321"/>
      <c r="AV37" s="321"/>
      <c r="AW37" s="321"/>
      <c r="AX37" s="321"/>
      <c r="AY37" s="321"/>
      <c r="AZ37" s="321"/>
      <c r="BA37" s="321"/>
      <c r="BB37" s="319"/>
      <c r="BC37" s="319"/>
      <c r="BD37" s="319"/>
      <c r="BE37" s="9"/>
      <c r="BG37" s="3"/>
      <c r="BH37" s="3"/>
      <c r="BJ37" s="3"/>
      <c r="BK37" s="3"/>
      <c r="BM37" s="322"/>
      <c r="BO37" s="319"/>
      <c r="BP37" s="319"/>
    </row>
    <row r="38" spans="2:68">
      <c r="B38" s="251"/>
      <c r="C38" s="251"/>
      <c r="D38" s="251"/>
      <c r="E38" s="251"/>
      <c r="F38" s="251"/>
      <c r="G38" s="251"/>
      <c r="H38" s="251"/>
      <c r="I38" s="251"/>
      <c r="J38" s="251"/>
      <c r="K38" s="251"/>
      <c r="L38" s="251"/>
      <c r="M38" s="251"/>
      <c r="N38" s="251"/>
      <c r="O38" s="251"/>
      <c r="P38" s="251"/>
      <c r="Q38" s="251"/>
      <c r="R38" s="251"/>
      <c r="S38" s="251"/>
      <c r="T38" s="251"/>
      <c r="U38" s="251"/>
      <c r="V38" s="251"/>
      <c r="W38" s="251"/>
      <c r="X38" s="251"/>
      <c r="Y38" s="251"/>
      <c r="Z38" s="251"/>
      <c r="AA38" s="251"/>
      <c r="AB38" s="251"/>
      <c r="AC38" s="251"/>
      <c r="AD38" s="251"/>
      <c r="AE38" s="251"/>
      <c r="AF38" s="251"/>
      <c r="AG38" s="251"/>
      <c r="AH38" s="251"/>
      <c r="AI38" s="251"/>
      <c r="AJ38" s="251"/>
      <c r="AK38" s="251"/>
      <c r="AL38" s="251"/>
      <c r="AM38" s="251"/>
      <c r="AN38" s="251"/>
      <c r="AO38" s="251"/>
      <c r="AP38" s="251"/>
      <c r="AQ38" s="251"/>
      <c r="AR38" s="251"/>
      <c r="AS38" s="251"/>
      <c r="AT38" s="251"/>
      <c r="AU38" s="251"/>
      <c r="AV38" s="251"/>
      <c r="AW38" s="251"/>
      <c r="AX38" s="251"/>
      <c r="AY38" s="251"/>
      <c r="AZ38" s="251"/>
      <c r="BA38" s="251"/>
      <c r="BB38" s="9"/>
      <c r="BC38" s="9"/>
      <c r="BD38" s="9"/>
      <c r="BE38" s="9"/>
      <c r="BF38" s="311"/>
      <c r="BI38" s="311"/>
      <c r="BM38" s="8"/>
      <c r="BO38" s="6"/>
      <c r="BP38" s="6"/>
    </row>
    <row r="39" spans="2:68">
      <c r="B39" s="251"/>
      <c r="C39" s="251"/>
      <c r="D39" s="251"/>
      <c r="E39" s="251"/>
      <c r="F39" s="251"/>
      <c r="G39" s="251"/>
      <c r="H39" s="251"/>
      <c r="I39" s="251"/>
      <c r="J39" s="251"/>
      <c r="K39" s="251"/>
      <c r="L39" s="251"/>
      <c r="M39" s="251"/>
      <c r="N39" s="251"/>
      <c r="O39" s="251"/>
      <c r="P39" s="251"/>
      <c r="Q39" s="251"/>
      <c r="R39" s="251"/>
      <c r="S39" s="251"/>
      <c r="T39" s="251"/>
      <c r="U39" s="251"/>
      <c r="V39" s="251"/>
      <c r="W39" s="251"/>
      <c r="X39" s="251"/>
      <c r="Y39" s="251"/>
      <c r="Z39" s="251"/>
      <c r="AA39" s="251"/>
      <c r="AB39" s="251"/>
      <c r="AC39" s="251"/>
      <c r="AD39" s="251"/>
      <c r="AE39" s="251"/>
      <c r="AF39" s="251"/>
      <c r="AG39" s="251"/>
      <c r="AH39" s="251"/>
      <c r="AI39" s="251"/>
      <c r="AJ39" s="251"/>
      <c r="AK39" s="251"/>
      <c r="AL39" s="251"/>
      <c r="AM39" s="251"/>
      <c r="AN39" s="251"/>
      <c r="AO39" s="251"/>
      <c r="AP39" s="251"/>
      <c r="AQ39" s="251"/>
      <c r="AR39" s="251"/>
      <c r="AS39" s="251"/>
      <c r="AT39" s="251"/>
      <c r="AU39" s="251"/>
      <c r="AV39" s="251"/>
      <c r="AW39" s="251"/>
      <c r="AX39" s="251"/>
      <c r="AY39" s="251"/>
      <c r="AZ39" s="251"/>
      <c r="BA39" s="251"/>
      <c r="BB39" s="9"/>
      <c r="BC39" s="9"/>
      <c r="BD39" s="9"/>
      <c r="BE39" s="9"/>
      <c r="BF39" s="311"/>
      <c r="BI39" s="311"/>
      <c r="BM39" s="8"/>
      <c r="BO39" s="6"/>
      <c r="BP39" s="6"/>
    </row>
    <row r="40" spans="2:68">
      <c r="B40" s="251"/>
      <c r="C40" s="251"/>
      <c r="D40" s="251"/>
      <c r="E40" s="251"/>
      <c r="F40" s="251"/>
      <c r="G40" s="251"/>
      <c r="H40" s="251"/>
      <c r="I40" s="251"/>
      <c r="J40" s="251"/>
      <c r="K40" s="251"/>
      <c r="L40" s="251"/>
      <c r="M40" s="251"/>
      <c r="N40" s="251"/>
      <c r="O40" s="251"/>
      <c r="P40" s="251"/>
      <c r="Q40" s="251"/>
      <c r="R40" s="251"/>
      <c r="S40" s="251"/>
      <c r="T40" s="251"/>
      <c r="U40" s="251"/>
      <c r="V40" s="251"/>
      <c r="W40" s="251"/>
      <c r="X40" s="251"/>
      <c r="Y40" s="251"/>
      <c r="Z40" s="251"/>
      <c r="AA40" s="251"/>
      <c r="AB40" s="251"/>
      <c r="AC40" s="251"/>
      <c r="AD40" s="251"/>
      <c r="AE40" s="251"/>
      <c r="AF40" s="251"/>
      <c r="AG40" s="251"/>
      <c r="AH40" s="251"/>
      <c r="AI40" s="251"/>
      <c r="AJ40" s="251"/>
      <c r="AK40" s="251"/>
      <c r="AL40" s="251"/>
      <c r="AM40" s="251"/>
      <c r="AN40" s="251"/>
      <c r="AO40" s="251"/>
      <c r="AP40" s="251"/>
      <c r="AQ40" s="251"/>
      <c r="AR40" s="251"/>
      <c r="AS40" s="251"/>
      <c r="AT40" s="251"/>
      <c r="AU40" s="251"/>
      <c r="AV40" s="251"/>
      <c r="AW40" s="251"/>
      <c r="AX40" s="251"/>
      <c r="AY40" s="251"/>
      <c r="AZ40" s="251"/>
      <c r="BA40" s="251"/>
      <c r="BB40" s="9"/>
      <c r="BC40" s="9"/>
      <c r="BD40" s="9"/>
      <c r="BE40" s="9"/>
      <c r="BF40" s="311"/>
      <c r="BI40" s="311"/>
      <c r="BM40" s="8"/>
      <c r="BO40" s="6"/>
      <c r="BP40" s="6"/>
    </row>
    <row r="41" spans="2:68">
      <c r="B41" s="251"/>
      <c r="C41" s="251"/>
      <c r="D41" s="251"/>
      <c r="E41" s="251"/>
      <c r="F41" s="251"/>
      <c r="G41" s="251"/>
      <c r="H41" s="251"/>
      <c r="I41" s="251"/>
      <c r="J41" s="251"/>
      <c r="K41" s="251"/>
      <c r="L41" s="251"/>
      <c r="M41" s="251"/>
      <c r="N41" s="251"/>
      <c r="O41" s="251"/>
      <c r="P41" s="251"/>
      <c r="Q41" s="251"/>
      <c r="R41" s="251"/>
      <c r="S41" s="251"/>
      <c r="T41" s="251"/>
      <c r="U41" s="251"/>
      <c r="V41" s="251"/>
      <c r="W41" s="251"/>
      <c r="X41" s="251"/>
      <c r="Y41" s="251"/>
      <c r="Z41" s="251"/>
      <c r="AA41" s="251"/>
      <c r="AB41" s="251"/>
      <c r="AC41" s="251"/>
      <c r="AD41" s="251"/>
      <c r="AE41" s="251"/>
      <c r="AF41" s="251"/>
      <c r="AG41" s="251"/>
      <c r="AH41" s="251"/>
      <c r="AI41" s="251"/>
      <c r="AJ41" s="251"/>
      <c r="AK41" s="251"/>
      <c r="AL41" s="251"/>
      <c r="AM41" s="251"/>
      <c r="AN41" s="251"/>
      <c r="AO41" s="251"/>
      <c r="AP41" s="251"/>
      <c r="AQ41" s="251"/>
      <c r="AR41" s="251"/>
      <c r="AS41" s="251"/>
      <c r="AT41" s="251"/>
      <c r="AU41" s="251"/>
      <c r="AV41" s="251"/>
      <c r="AW41" s="251"/>
      <c r="AX41" s="251"/>
      <c r="AY41" s="251"/>
      <c r="AZ41" s="251"/>
      <c r="BA41" s="251"/>
      <c r="BB41" s="9"/>
      <c r="BC41" s="9"/>
      <c r="BD41" s="9"/>
      <c r="BE41" s="9"/>
      <c r="BM41" s="8"/>
      <c r="BO41" s="6"/>
      <c r="BP41" s="6"/>
    </row>
    <row r="42" spans="2:68">
      <c r="B42" s="251"/>
      <c r="C42" s="251"/>
      <c r="D42" s="251"/>
      <c r="E42" s="251"/>
      <c r="F42" s="251"/>
      <c r="G42" s="251"/>
      <c r="H42" s="251"/>
      <c r="I42" s="251"/>
      <c r="J42" s="251"/>
      <c r="K42" s="251"/>
      <c r="L42" s="251"/>
      <c r="M42" s="251"/>
      <c r="N42" s="251"/>
      <c r="O42" s="251"/>
      <c r="P42" s="251"/>
      <c r="Q42" s="251"/>
      <c r="R42" s="251"/>
      <c r="S42" s="251"/>
      <c r="T42" s="251"/>
      <c r="U42" s="251"/>
      <c r="V42" s="251"/>
      <c r="W42" s="251"/>
      <c r="X42" s="251"/>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251"/>
      <c r="AV42" s="251"/>
      <c r="AW42" s="251"/>
      <c r="AX42" s="251"/>
      <c r="AY42" s="251"/>
      <c r="AZ42" s="251"/>
      <c r="BA42" s="251"/>
      <c r="BB42" s="9"/>
      <c r="BC42" s="9"/>
      <c r="BD42" s="9"/>
      <c r="BE42" s="9"/>
      <c r="BM42" s="8"/>
      <c r="BO42" s="6"/>
      <c r="BP42" s="6"/>
    </row>
    <row r="43" spans="2:68">
      <c r="B43" s="251"/>
      <c r="C43" s="251"/>
      <c r="D43" s="251"/>
      <c r="E43" s="251"/>
      <c r="F43" s="251"/>
      <c r="G43" s="251"/>
      <c r="H43" s="251"/>
      <c r="I43" s="251"/>
      <c r="J43" s="251"/>
      <c r="K43" s="251"/>
      <c r="L43" s="251"/>
      <c r="M43" s="251"/>
      <c r="N43" s="251"/>
      <c r="O43" s="251"/>
      <c r="P43" s="251"/>
      <c r="Q43" s="251"/>
      <c r="R43" s="251"/>
      <c r="S43" s="251"/>
      <c r="T43" s="251"/>
      <c r="U43" s="251"/>
      <c r="V43" s="251"/>
      <c r="W43" s="251"/>
      <c r="X43" s="251"/>
      <c r="Y43" s="251"/>
      <c r="Z43" s="251"/>
      <c r="AA43" s="251"/>
      <c r="AB43" s="251"/>
      <c r="AC43" s="251"/>
      <c r="AD43" s="251"/>
      <c r="AE43" s="251"/>
      <c r="AF43" s="251"/>
      <c r="AG43" s="251"/>
      <c r="AH43" s="251"/>
      <c r="AI43" s="251"/>
      <c r="AJ43" s="251"/>
      <c r="AK43" s="251"/>
      <c r="AL43" s="251"/>
      <c r="AM43" s="251"/>
      <c r="AN43" s="251"/>
      <c r="AO43" s="251"/>
      <c r="AP43" s="251"/>
      <c r="AQ43" s="251"/>
      <c r="AR43" s="251"/>
      <c r="AS43" s="251"/>
      <c r="AT43" s="251"/>
      <c r="AU43" s="251"/>
      <c r="AV43" s="251"/>
      <c r="AW43" s="251"/>
      <c r="AX43" s="251"/>
      <c r="AY43" s="251"/>
      <c r="AZ43" s="251"/>
      <c r="BA43" s="251"/>
      <c r="BB43" s="9"/>
      <c r="BC43" s="9"/>
      <c r="BD43" s="9"/>
      <c r="BE43" s="9"/>
      <c r="BM43" s="8"/>
      <c r="BO43" s="6"/>
      <c r="BP43" s="6"/>
    </row>
    <row r="44" spans="2:68">
      <c r="B44" s="251"/>
      <c r="C44" s="251"/>
      <c r="D44" s="251"/>
      <c r="E44" s="251"/>
      <c r="F44" s="251"/>
      <c r="G44" s="251"/>
      <c r="H44" s="251"/>
      <c r="I44" s="251"/>
      <c r="J44" s="251"/>
      <c r="K44" s="251"/>
      <c r="L44" s="251"/>
      <c r="M44" s="251"/>
      <c r="N44" s="251"/>
      <c r="O44" s="251"/>
      <c r="P44" s="251"/>
      <c r="Q44" s="251"/>
      <c r="R44" s="251"/>
      <c r="S44" s="251"/>
      <c r="T44" s="251"/>
      <c r="U44" s="251"/>
      <c r="V44" s="251"/>
      <c r="W44" s="251"/>
      <c r="X44" s="251"/>
      <c r="Y44" s="251"/>
      <c r="Z44" s="251"/>
      <c r="AA44" s="251"/>
      <c r="AB44" s="251"/>
      <c r="AC44" s="251"/>
      <c r="AD44" s="251"/>
      <c r="AE44" s="251"/>
      <c r="AF44" s="251"/>
      <c r="AG44" s="251"/>
      <c r="AH44" s="251"/>
      <c r="AI44" s="251"/>
      <c r="AJ44" s="251"/>
      <c r="AK44" s="251"/>
      <c r="AL44" s="251"/>
      <c r="AM44" s="251"/>
      <c r="AN44" s="251"/>
      <c r="AO44" s="251"/>
      <c r="AP44" s="251"/>
      <c r="AQ44" s="251"/>
      <c r="AR44" s="251"/>
      <c r="AS44" s="251"/>
      <c r="AT44" s="251"/>
      <c r="AU44" s="251"/>
      <c r="AV44" s="251"/>
      <c r="AW44" s="251"/>
      <c r="AX44" s="251"/>
      <c r="AY44" s="251"/>
      <c r="AZ44" s="251"/>
      <c r="BA44" s="251"/>
      <c r="BB44" s="9"/>
      <c r="BC44" s="9"/>
      <c r="BD44" s="9"/>
      <c r="BE44" s="9"/>
      <c r="BM44" s="8"/>
      <c r="BO44" s="6"/>
      <c r="BP44" s="6"/>
    </row>
    <row r="45" spans="2:68">
      <c r="B45" s="251"/>
      <c r="C45" s="251"/>
      <c r="D45" s="251"/>
      <c r="E45" s="251"/>
      <c r="F45" s="251"/>
      <c r="G45" s="251"/>
      <c r="H45" s="251"/>
      <c r="I45" s="251"/>
      <c r="J45" s="251"/>
      <c r="K45" s="251"/>
      <c r="L45" s="251"/>
      <c r="M45" s="251"/>
      <c r="N45" s="251"/>
      <c r="O45" s="251"/>
      <c r="P45" s="251"/>
      <c r="Q45" s="251"/>
      <c r="R45" s="251"/>
      <c r="S45" s="251"/>
      <c r="T45" s="251"/>
      <c r="U45" s="251"/>
      <c r="V45" s="251"/>
      <c r="W45" s="251"/>
      <c r="X45" s="251"/>
      <c r="Y45" s="251"/>
      <c r="Z45" s="251"/>
      <c r="AA45" s="251"/>
      <c r="AB45" s="251"/>
      <c r="AC45" s="251"/>
      <c r="AD45" s="251"/>
      <c r="AE45" s="251"/>
      <c r="AF45" s="251"/>
      <c r="AG45" s="251"/>
      <c r="AH45" s="251"/>
      <c r="AI45" s="251"/>
      <c r="AJ45" s="251"/>
      <c r="AK45" s="251"/>
      <c r="AL45" s="251"/>
      <c r="AM45" s="251"/>
      <c r="AN45" s="251"/>
      <c r="AO45" s="251"/>
      <c r="AP45" s="251"/>
      <c r="AQ45" s="251"/>
      <c r="AR45" s="251"/>
      <c r="AS45" s="251"/>
      <c r="AT45" s="251"/>
      <c r="AU45" s="251"/>
      <c r="AV45" s="251"/>
      <c r="AW45" s="251"/>
      <c r="AX45" s="251"/>
      <c r="AY45" s="251"/>
      <c r="AZ45" s="251"/>
      <c r="BA45" s="251"/>
      <c r="BB45" s="9"/>
      <c r="BC45" s="9"/>
      <c r="BD45" s="9"/>
      <c r="BE45" s="9"/>
      <c r="BM45" s="8"/>
      <c r="BO45" s="6"/>
      <c r="BP45" s="6"/>
    </row>
    <row r="46" spans="2:68">
      <c r="B46" s="251"/>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251"/>
      <c r="AB46" s="251"/>
      <c r="AC46" s="251"/>
      <c r="AD46" s="251"/>
      <c r="AE46" s="251"/>
      <c r="AF46" s="251"/>
      <c r="AG46" s="251"/>
      <c r="AH46" s="251"/>
      <c r="AI46" s="251"/>
      <c r="AJ46" s="251"/>
      <c r="AK46" s="251"/>
      <c r="AL46" s="251"/>
      <c r="AM46" s="251"/>
      <c r="AN46" s="251"/>
      <c r="AO46" s="251"/>
      <c r="AP46" s="251"/>
      <c r="AQ46" s="251"/>
      <c r="AR46" s="251"/>
      <c r="AS46" s="251"/>
      <c r="AT46" s="251"/>
      <c r="AU46" s="251"/>
      <c r="AV46" s="251"/>
      <c r="AW46" s="251"/>
      <c r="AX46" s="251"/>
      <c r="AY46" s="251"/>
      <c r="AZ46" s="251"/>
      <c r="BA46" s="251"/>
      <c r="BB46" s="9"/>
      <c r="BC46" s="9"/>
      <c r="BD46" s="9"/>
      <c r="BE46" s="9"/>
      <c r="BM46" s="8"/>
      <c r="BO46" s="6"/>
      <c r="BP46" s="6"/>
    </row>
    <row r="47" spans="2:68">
      <c r="B47" s="251"/>
      <c r="C47" s="251"/>
      <c r="D47" s="251"/>
      <c r="E47" s="251"/>
      <c r="F47" s="251"/>
      <c r="G47" s="251"/>
      <c r="H47" s="251"/>
      <c r="I47" s="251"/>
      <c r="J47" s="251"/>
      <c r="K47" s="251"/>
      <c r="L47" s="251"/>
      <c r="M47" s="251"/>
      <c r="N47" s="251"/>
      <c r="O47" s="251"/>
      <c r="P47" s="251"/>
      <c r="Q47" s="251"/>
      <c r="R47" s="251"/>
      <c r="S47" s="251"/>
      <c r="T47" s="251"/>
      <c r="U47" s="251"/>
      <c r="V47" s="251"/>
      <c r="W47" s="251"/>
      <c r="X47" s="251"/>
      <c r="Y47" s="251"/>
      <c r="Z47" s="251"/>
      <c r="AA47" s="251"/>
      <c r="AB47" s="251"/>
      <c r="AC47" s="251"/>
      <c r="AD47" s="251"/>
      <c r="AE47" s="251"/>
      <c r="AF47" s="251"/>
      <c r="AG47" s="251"/>
      <c r="AH47" s="251"/>
      <c r="AI47" s="251"/>
      <c r="AJ47" s="251"/>
      <c r="AK47" s="251"/>
      <c r="AL47" s="251"/>
      <c r="AM47" s="251"/>
      <c r="AN47" s="251"/>
      <c r="AO47" s="251"/>
      <c r="AP47" s="251"/>
      <c r="AQ47" s="251"/>
      <c r="AR47" s="251"/>
      <c r="AS47" s="251"/>
      <c r="AT47" s="251"/>
      <c r="AU47" s="251"/>
      <c r="AV47" s="251"/>
      <c r="AW47" s="251"/>
      <c r="AX47" s="251"/>
      <c r="AY47" s="251"/>
      <c r="AZ47" s="251"/>
      <c r="BA47" s="251"/>
      <c r="BB47" s="9"/>
      <c r="BC47" s="9"/>
      <c r="BD47" s="9"/>
      <c r="BE47" s="9"/>
      <c r="BM47" s="8"/>
      <c r="BO47" s="6"/>
      <c r="BP47" s="6"/>
    </row>
    <row r="48" spans="2:68">
      <c r="B48" s="251"/>
      <c r="C48" s="251"/>
      <c r="D48" s="251"/>
      <c r="E48" s="251"/>
      <c r="F48" s="251"/>
      <c r="G48" s="251"/>
      <c r="H48" s="251"/>
      <c r="I48" s="251"/>
      <c r="J48" s="251"/>
      <c r="K48" s="251"/>
      <c r="L48" s="251"/>
      <c r="M48" s="251"/>
      <c r="N48" s="251"/>
      <c r="O48" s="251"/>
      <c r="P48" s="251"/>
      <c r="Q48" s="251"/>
      <c r="R48" s="251"/>
      <c r="S48" s="251"/>
      <c r="T48" s="251"/>
      <c r="U48" s="251"/>
      <c r="V48" s="251"/>
      <c r="W48" s="251"/>
      <c r="X48" s="251"/>
      <c r="Y48" s="251"/>
      <c r="Z48" s="251"/>
      <c r="AA48" s="251"/>
      <c r="AB48" s="251"/>
      <c r="AC48" s="251"/>
      <c r="AD48" s="251"/>
      <c r="AE48" s="251"/>
      <c r="AF48" s="251"/>
      <c r="AG48" s="251"/>
      <c r="AH48" s="251"/>
      <c r="AI48" s="251"/>
      <c r="AJ48" s="251"/>
      <c r="AK48" s="251"/>
      <c r="AL48" s="251"/>
      <c r="AM48" s="251"/>
      <c r="AN48" s="251"/>
      <c r="AO48" s="251"/>
      <c r="AP48" s="251"/>
      <c r="AQ48" s="251"/>
      <c r="AR48" s="251"/>
      <c r="AS48" s="251"/>
      <c r="AT48" s="251"/>
      <c r="AU48" s="251"/>
      <c r="AV48" s="251"/>
      <c r="AW48" s="251"/>
      <c r="AX48" s="251"/>
      <c r="AY48" s="251"/>
      <c r="AZ48" s="251"/>
      <c r="BA48" s="251"/>
      <c r="BB48" s="9"/>
      <c r="BC48" s="9"/>
      <c r="BD48" s="9"/>
      <c r="BE48" s="9"/>
      <c r="BM48" s="8"/>
      <c r="BO48" s="6"/>
      <c r="BP48" s="6"/>
    </row>
    <row r="49" spans="2:68">
      <c r="B49" s="251"/>
      <c r="C49" s="251"/>
      <c r="D49" s="251"/>
      <c r="E49" s="251"/>
      <c r="F49" s="251"/>
      <c r="G49" s="251"/>
      <c r="H49" s="251"/>
      <c r="I49" s="251"/>
      <c r="J49" s="251"/>
      <c r="K49" s="251"/>
      <c r="L49" s="251"/>
      <c r="M49" s="251"/>
      <c r="N49" s="251"/>
      <c r="O49" s="251"/>
      <c r="P49" s="251"/>
      <c r="Q49" s="251"/>
      <c r="R49" s="251"/>
      <c r="S49" s="251"/>
      <c r="T49" s="251"/>
      <c r="U49" s="251"/>
      <c r="V49" s="251"/>
      <c r="W49" s="251"/>
      <c r="X49" s="251"/>
      <c r="Y49" s="251"/>
      <c r="Z49" s="251"/>
      <c r="AA49" s="251"/>
      <c r="AB49" s="251"/>
      <c r="AC49" s="251"/>
      <c r="AD49" s="251"/>
      <c r="AE49" s="251"/>
      <c r="AF49" s="251"/>
      <c r="AG49" s="251"/>
      <c r="AH49" s="251"/>
      <c r="AI49" s="251"/>
      <c r="AJ49" s="251"/>
      <c r="AK49" s="251"/>
      <c r="AL49" s="251"/>
      <c r="AM49" s="251"/>
      <c r="AN49" s="251"/>
      <c r="AO49" s="251"/>
      <c r="AP49" s="251"/>
      <c r="AQ49" s="251"/>
      <c r="AR49" s="251"/>
      <c r="AS49" s="251"/>
      <c r="AT49" s="251"/>
      <c r="AU49" s="251"/>
      <c r="AV49" s="251"/>
      <c r="AW49" s="251"/>
      <c r="AX49" s="251"/>
      <c r="AY49" s="251"/>
      <c r="AZ49" s="251"/>
      <c r="BA49" s="251"/>
      <c r="BB49" s="9"/>
      <c r="BC49" s="9"/>
      <c r="BD49" s="9"/>
      <c r="BE49" s="9"/>
      <c r="BM49" s="8"/>
      <c r="BO49" s="6"/>
      <c r="BP49" s="6"/>
    </row>
    <row r="50" spans="2:68">
      <c r="B50" s="251"/>
      <c r="C50" s="251"/>
      <c r="D50" s="251"/>
      <c r="E50" s="251"/>
      <c r="F50" s="251"/>
      <c r="G50" s="251"/>
      <c r="H50" s="251"/>
      <c r="I50" s="251"/>
      <c r="J50" s="251"/>
      <c r="K50" s="251"/>
      <c r="L50" s="251"/>
      <c r="M50" s="251"/>
      <c r="N50" s="251"/>
      <c r="O50" s="251"/>
      <c r="P50" s="251"/>
      <c r="Q50" s="251"/>
      <c r="R50" s="251"/>
      <c r="S50" s="251"/>
      <c r="T50" s="251"/>
      <c r="U50" s="251"/>
      <c r="V50" s="251"/>
      <c r="W50" s="251"/>
      <c r="X50" s="251"/>
      <c r="Y50" s="251"/>
      <c r="Z50" s="251"/>
      <c r="AA50" s="251"/>
      <c r="AB50" s="251"/>
      <c r="AC50" s="251"/>
      <c r="AD50" s="251"/>
      <c r="AE50" s="251"/>
      <c r="AF50" s="251"/>
      <c r="AG50" s="251"/>
      <c r="AH50" s="251"/>
      <c r="AI50" s="251"/>
      <c r="AJ50" s="251"/>
      <c r="AK50" s="251"/>
      <c r="AL50" s="251"/>
      <c r="AM50" s="251"/>
      <c r="AN50" s="251"/>
      <c r="AO50" s="251"/>
      <c r="AP50" s="251"/>
      <c r="AQ50" s="251"/>
      <c r="AR50" s="251"/>
      <c r="AS50" s="251"/>
      <c r="AT50" s="251"/>
      <c r="AU50" s="251"/>
      <c r="AV50" s="251"/>
      <c r="AW50" s="251"/>
      <c r="AX50" s="251"/>
      <c r="AY50" s="251"/>
      <c r="AZ50" s="251"/>
      <c r="BA50" s="251"/>
      <c r="BB50" s="9"/>
      <c r="BC50" s="9"/>
      <c r="BD50" s="9"/>
      <c r="BE50" s="9"/>
      <c r="BM50" s="8"/>
      <c r="BO50" s="6"/>
      <c r="BP50" s="6"/>
    </row>
    <row r="51" spans="2:68">
      <c r="B51" s="251"/>
      <c r="C51" s="251"/>
      <c r="D51" s="251"/>
      <c r="E51" s="251"/>
      <c r="F51" s="251"/>
      <c r="G51" s="251"/>
      <c r="H51" s="251"/>
      <c r="I51" s="251"/>
      <c r="J51" s="251"/>
      <c r="K51" s="251"/>
      <c r="L51" s="251"/>
      <c r="M51" s="251"/>
      <c r="N51" s="251"/>
      <c r="O51" s="251"/>
      <c r="P51" s="251"/>
      <c r="Q51" s="251"/>
      <c r="R51" s="251"/>
      <c r="S51" s="251"/>
      <c r="T51" s="251"/>
      <c r="U51" s="251"/>
      <c r="V51" s="251"/>
      <c r="W51" s="251"/>
      <c r="X51" s="251"/>
      <c r="Y51" s="251"/>
      <c r="Z51" s="251"/>
      <c r="AA51" s="251"/>
      <c r="AB51" s="251"/>
      <c r="AC51" s="251"/>
      <c r="AD51" s="251"/>
      <c r="AE51" s="251"/>
      <c r="AF51" s="251"/>
      <c r="AG51" s="251"/>
      <c r="AH51" s="251"/>
      <c r="AI51" s="251"/>
      <c r="AJ51" s="251"/>
      <c r="AK51" s="251"/>
      <c r="AL51" s="251"/>
      <c r="AM51" s="251"/>
      <c r="AN51" s="251"/>
      <c r="AO51" s="251"/>
      <c r="AP51" s="251"/>
      <c r="AQ51" s="251"/>
      <c r="AR51" s="251"/>
      <c r="AS51" s="251"/>
      <c r="AT51" s="251"/>
      <c r="AU51" s="251"/>
      <c r="AV51" s="251"/>
      <c r="AW51" s="251"/>
      <c r="AX51" s="251"/>
      <c r="AY51" s="251"/>
      <c r="AZ51" s="251"/>
      <c r="BA51" s="251"/>
      <c r="BB51" s="9"/>
      <c r="BC51" s="9"/>
      <c r="BD51" s="9"/>
      <c r="BE51" s="9"/>
      <c r="BM51" s="8"/>
      <c r="BO51" s="6"/>
      <c r="BP51" s="6"/>
    </row>
    <row r="52" spans="2:68">
      <c r="B52" s="251"/>
      <c r="C52" s="251"/>
      <c r="D52" s="251"/>
      <c r="E52" s="251"/>
      <c r="F52" s="251"/>
      <c r="G52" s="251"/>
      <c r="H52" s="251"/>
      <c r="I52" s="251"/>
      <c r="J52" s="251"/>
      <c r="K52" s="251"/>
      <c r="L52" s="251"/>
      <c r="M52" s="251"/>
      <c r="N52" s="251"/>
      <c r="O52" s="251"/>
      <c r="P52" s="251"/>
      <c r="Q52" s="251"/>
      <c r="R52" s="251"/>
      <c r="S52" s="251"/>
      <c r="T52" s="251"/>
      <c r="U52" s="251"/>
      <c r="V52" s="251"/>
      <c r="W52" s="251"/>
      <c r="X52" s="252"/>
      <c r="Y52" s="251"/>
      <c r="Z52" s="251"/>
      <c r="AA52" s="251"/>
      <c r="AB52" s="251"/>
      <c r="AC52" s="251"/>
      <c r="AD52" s="251"/>
      <c r="AE52" s="251"/>
      <c r="AF52" s="251"/>
      <c r="AG52" s="251"/>
      <c r="AH52" s="251"/>
      <c r="AI52" s="251"/>
      <c r="AJ52" s="251"/>
      <c r="AK52" s="251"/>
      <c r="AL52" s="251"/>
      <c r="AM52" s="251"/>
      <c r="AN52" s="251"/>
      <c r="AO52" s="251"/>
      <c r="AP52" s="251"/>
      <c r="AQ52" s="251"/>
      <c r="AR52" s="251"/>
      <c r="AS52" s="251"/>
      <c r="AT52" s="251"/>
      <c r="AU52" s="251"/>
      <c r="AV52" s="251"/>
      <c r="AW52" s="251"/>
      <c r="AX52" s="251"/>
      <c r="AY52" s="251"/>
      <c r="AZ52" s="251"/>
      <c r="BA52" s="251"/>
      <c r="BB52" s="9"/>
      <c r="BC52" s="9"/>
      <c r="BD52" s="9"/>
      <c r="BE52" s="9"/>
      <c r="BM52" s="8"/>
      <c r="BO52" s="6"/>
      <c r="BP52" s="6"/>
    </row>
    <row r="53" spans="2:68">
      <c r="B53" s="251"/>
      <c r="C53" s="251"/>
      <c r="D53" s="251"/>
      <c r="E53" s="251"/>
      <c r="F53" s="251"/>
      <c r="G53" s="251"/>
      <c r="H53" s="251"/>
      <c r="I53" s="251"/>
      <c r="J53" s="251"/>
      <c r="K53" s="251"/>
      <c r="L53" s="251"/>
      <c r="M53" s="251"/>
      <c r="N53" s="251"/>
      <c r="O53" s="251"/>
      <c r="P53" s="251"/>
      <c r="Q53" s="251"/>
      <c r="R53" s="251"/>
      <c r="S53" s="251"/>
      <c r="T53" s="251"/>
      <c r="U53" s="251"/>
      <c r="V53" s="251"/>
      <c r="W53" s="251"/>
      <c r="X53" s="251"/>
      <c r="Y53" s="251"/>
      <c r="Z53" s="251"/>
      <c r="AA53" s="251"/>
      <c r="AB53" s="251"/>
      <c r="AC53" s="251"/>
      <c r="AD53" s="251"/>
      <c r="AE53" s="251"/>
      <c r="AF53" s="251"/>
      <c r="AG53" s="251"/>
      <c r="AH53" s="251"/>
      <c r="AI53" s="251"/>
      <c r="AJ53" s="251"/>
      <c r="AK53" s="251"/>
      <c r="AL53" s="251"/>
      <c r="AM53" s="251"/>
      <c r="AN53" s="251"/>
      <c r="AO53" s="251"/>
      <c r="AP53" s="251"/>
      <c r="AQ53" s="251"/>
      <c r="AR53" s="251"/>
      <c r="AS53" s="251"/>
      <c r="AT53" s="251"/>
      <c r="AU53" s="251"/>
      <c r="AV53" s="251"/>
      <c r="AW53" s="251"/>
      <c r="AX53" s="251"/>
      <c r="AY53" s="251"/>
      <c r="AZ53" s="251"/>
      <c r="BA53" s="251"/>
      <c r="BB53" s="9"/>
      <c r="BC53" s="9"/>
      <c r="BD53" s="9"/>
      <c r="BE53" s="9"/>
      <c r="BM53" s="8"/>
      <c r="BO53" s="6"/>
      <c r="BP53" s="6"/>
    </row>
    <row r="54" spans="2:68">
      <c r="B54" s="251"/>
      <c r="C54" s="251"/>
      <c r="D54" s="251"/>
      <c r="E54" s="251"/>
      <c r="F54" s="251"/>
      <c r="G54" s="251"/>
      <c r="H54" s="251"/>
      <c r="I54" s="251"/>
      <c r="J54" s="251"/>
      <c r="K54" s="251"/>
      <c r="L54" s="251"/>
      <c r="M54" s="251"/>
      <c r="N54" s="251"/>
      <c r="O54" s="251"/>
      <c r="P54" s="251"/>
      <c r="Q54" s="251"/>
      <c r="R54" s="251"/>
      <c r="S54" s="251"/>
      <c r="T54" s="251"/>
      <c r="U54" s="251"/>
      <c r="V54" s="251"/>
      <c r="W54" s="251"/>
      <c r="X54" s="251"/>
      <c r="Y54" s="251"/>
      <c r="Z54" s="251"/>
      <c r="AA54" s="251"/>
      <c r="AB54" s="251"/>
      <c r="AC54" s="251"/>
      <c r="AD54" s="251"/>
      <c r="AE54" s="251"/>
      <c r="AF54" s="251"/>
      <c r="AG54" s="251"/>
      <c r="AH54" s="251"/>
      <c r="AI54" s="251"/>
      <c r="AJ54" s="251"/>
      <c r="AK54" s="251"/>
      <c r="AL54" s="251"/>
      <c r="AM54" s="251"/>
      <c r="AN54" s="251"/>
      <c r="AO54" s="251"/>
      <c r="AP54" s="251"/>
      <c r="AQ54" s="251"/>
      <c r="AR54" s="251"/>
      <c r="AS54" s="251"/>
      <c r="AT54" s="251"/>
      <c r="AU54" s="251"/>
      <c r="AV54" s="251"/>
      <c r="AW54" s="251"/>
      <c r="AX54" s="251"/>
      <c r="AY54" s="251"/>
      <c r="AZ54" s="251"/>
      <c r="BA54" s="251"/>
      <c r="BB54" s="9"/>
      <c r="BC54" s="9"/>
      <c r="BD54" s="9"/>
      <c r="BE54" s="9"/>
      <c r="BM54" s="8"/>
      <c r="BO54" s="6"/>
      <c r="BP54" s="6"/>
    </row>
    <row r="55" spans="2:68">
      <c r="B55" s="251"/>
      <c r="C55" s="251"/>
      <c r="D55" s="251"/>
      <c r="E55" s="251"/>
      <c r="F55" s="251"/>
      <c r="G55" s="251"/>
      <c r="H55" s="251"/>
      <c r="I55" s="251"/>
      <c r="J55" s="251"/>
      <c r="K55" s="251"/>
      <c r="L55" s="251"/>
      <c r="M55" s="251"/>
      <c r="N55" s="251"/>
      <c r="O55" s="251"/>
      <c r="P55" s="251"/>
      <c r="Q55" s="251"/>
      <c r="R55" s="251"/>
      <c r="S55" s="251"/>
      <c r="T55" s="251"/>
      <c r="U55" s="251"/>
      <c r="V55" s="251"/>
      <c r="W55" s="251"/>
      <c r="X55" s="251"/>
      <c r="Y55" s="251"/>
      <c r="Z55" s="251"/>
      <c r="AA55" s="251"/>
      <c r="AB55" s="251"/>
      <c r="AC55" s="251"/>
      <c r="AD55" s="251"/>
      <c r="AE55" s="251"/>
      <c r="AF55" s="251"/>
      <c r="AG55" s="251"/>
      <c r="AH55" s="251"/>
      <c r="AI55" s="251"/>
      <c r="AJ55" s="251"/>
      <c r="AK55" s="251"/>
      <c r="AL55" s="251"/>
      <c r="AM55" s="251"/>
      <c r="AN55" s="251"/>
      <c r="AO55" s="251"/>
      <c r="AP55" s="251"/>
      <c r="AQ55" s="251"/>
      <c r="AR55" s="251"/>
      <c r="AS55" s="251"/>
      <c r="AT55" s="251"/>
      <c r="AU55" s="251"/>
      <c r="AV55" s="251"/>
      <c r="AW55" s="251"/>
      <c r="AX55" s="251"/>
      <c r="AY55" s="251"/>
      <c r="AZ55" s="251"/>
      <c r="BA55" s="251"/>
      <c r="BB55" s="9"/>
      <c r="BC55" s="9"/>
      <c r="BD55" s="9"/>
      <c r="BE55" s="9"/>
      <c r="BM55" s="8"/>
      <c r="BO55" s="6"/>
      <c r="BP55" s="6"/>
    </row>
    <row r="56" spans="2:68">
      <c r="B56" s="251"/>
      <c r="C56" s="251"/>
      <c r="D56" s="251"/>
      <c r="E56" s="251"/>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251"/>
      <c r="AF56" s="251"/>
      <c r="AG56" s="251"/>
      <c r="AH56" s="251"/>
      <c r="AI56" s="251"/>
      <c r="AJ56" s="251"/>
      <c r="AK56" s="251"/>
      <c r="AL56" s="251"/>
      <c r="AM56" s="251"/>
      <c r="AN56" s="251"/>
      <c r="AO56" s="251"/>
      <c r="AP56" s="251"/>
      <c r="AQ56" s="251"/>
      <c r="AR56" s="251"/>
      <c r="AS56" s="251"/>
      <c r="AT56" s="251"/>
      <c r="AU56" s="251"/>
      <c r="AV56" s="251"/>
      <c r="AW56" s="251"/>
      <c r="AX56" s="251"/>
      <c r="AY56" s="251"/>
      <c r="AZ56" s="251"/>
      <c r="BA56" s="251"/>
      <c r="BB56" s="9"/>
      <c r="BC56" s="9"/>
      <c r="BD56" s="9"/>
      <c r="BE56" s="9"/>
      <c r="BM56" s="8"/>
      <c r="BO56" s="6"/>
      <c r="BP56" s="6"/>
    </row>
    <row r="57" spans="2:68">
      <c r="B57" s="251"/>
      <c r="C57" s="251"/>
      <c r="D57" s="251"/>
      <c r="E57" s="251"/>
      <c r="F57" s="251"/>
      <c r="G57" s="251"/>
      <c r="H57" s="251"/>
      <c r="I57" s="251"/>
      <c r="J57" s="251"/>
      <c r="K57" s="251"/>
      <c r="L57" s="251"/>
      <c r="M57" s="251"/>
      <c r="N57" s="251"/>
      <c r="O57" s="251"/>
      <c r="P57" s="251"/>
      <c r="Q57" s="251"/>
      <c r="R57" s="251"/>
      <c r="S57" s="251"/>
      <c r="T57" s="251"/>
      <c r="U57" s="251"/>
      <c r="V57" s="251"/>
      <c r="W57" s="251"/>
      <c r="X57" s="251"/>
      <c r="Y57" s="251"/>
      <c r="Z57" s="251"/>
      <c r="AA57" s="251"/>
      <c r="AB57" s="251"/>
      <c r="AC57" s="251"/>
      <c r="AD57" s="251"/>
      <c r="AE57" s="251"/>
      <c r="AF57" s="251"/>
      <c r="AG57" s="251"/>
      <c r="AH57" s="251"/>
      <c r="AI57" s="251"/>
      <c r="AJ57" s="251"/>
      <c r="AK57" s="251"/>
      <c r="AL57" s="251"/>
      <c r="AM57" s="251"/>
      <c r="AN57" s="251"/>
      <c r="AO57" s="251"/>
      <c r="AP57" s="251"/>
      <c r="AQ57" s="251"/>
      <c r="AR57" s="251"/>
      <c r="AS57" s="251"/>
      <c r="AT57" s="251"/>
      <c r="AU57" s="251"/>
      <c r="AV57" s="251"/>
      <c r="AW57" s="251"/>
      <c r="AX57" s="251"/>
      <c r="AY57" s="251"/>
      <c r="AZ57" s="251"/>
      <c r="BA57" s="251"/>
      <c r="BB57" s="9"/>
      <c r="BC57" s="9"/>
      <c r="BD57" s="9"/>
      <c r="BE57" s="9"/>
      <c r="BM57" s="8"/>
      <c r="BO57" s="6"/>
      <c r="BP57" s="6"/>
    </row>
    <row r="58" spans="2:68">
      <c r="B58" s="251"/>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c r="AI58" s="251"/>
      <c r="AJ58" s="251"/>
      <c r="AK58" s="251"/>
      <c r="AL58" s="251"/>
      <c r="AM58" s="251"/>
      <c r="AN58" s="251"/>
      <c r="AO58" s="251"/>
      <c r="AP58" s="251"/>
      <c r="AQ58" s="251"/>
      <c r="AR58" s="251"/>
      <c r="AS58" s="251"/>
      <c r="AT58" s="251"/>
      <c r="AU58" s="251"/>
      <c r="AV58" s="251"/>
      <c r="AW58" s="251"/>
      <c r="AX58" s="251"/>
      <c r="AY58" s="251"/>
      <c r="AZ58" s="251"/>
      <c r="BA58" s="251"/>
      <c r="BB58" s="9"/>
      <c r="BC58" s="9"/>
      <c r="BD58" s="9"/>
      <c r="BE58" s="9"/>
      <c r="BM58" s="8"/>
      <c r="BO58" s="6"/>
      <c r="BP58" s="6"/>
    </row>
    <row r="59" spans="2:68">
      <c r="B59" s="251"/>
      <c r="C59" s="251"/>
      <c r="D59" s="251"/>
      <c r="E59" s="251"/>
      <c r="F59" s="251"/>
      <c r="G59" s="251"/>
      <c r="H59" s="251"/>
      <c r="I59" s="251"/>
      <c r="J59" s="251"/>
      <c r="K59" s="251"/>
      <c r="L59" s="251"/>
      <c r="M59" s="251"/>
      <c r="N59" s="251"/>
      <c r="O59" s="251"/>
      <c r="P59" s="251"/>
      <c r="Q59" s="251"/>
      <c r="R59" s="251"/>
      <c r="S59" s="251"/>
      <c r="T59" s="251"/>
      <c r="U59" s="251"/>
      <c r="V59" s="251"/>
      <c r="W59" s="251"/>
      <c r="X59" s="251"/>
      <c r="Y59" s="251"/>
      <c r="Z59" s="251"/>
      <c r="AA59" s="251"/>
      <c r="AB59" s="251"/>
      <c r="AC59" s="251"/>
      <c r="AD59" s="251"/>
      <c r="AE59" s="251"/>
      <c r="AF59" s="251"/>
      <c r="AG59" s="251"/>
      <c r="AH59" s="251"/>
      <c r="AI59" s="251"/>
      <c r="AJ59" s="251"/>
      <c r="AK59" s="251"/>
      <c r="AL59" s="251"/>
      <c r="AM59" s="251"/>
      <c r="AN59" s="251"/>
      <c r="AO59" s="251"/>
      <c r="AP59" s="251"/>
      <c r="AQ59" s="251"/>
      <c r="AR59" s="251"/>
      <c r="AS59" s="251"/>
      <c r="AT59" s="251"/>
      <c r="AU59" s="251"/>
      <c r="AV59" s="251"/>
      <c r="AW59" s="251"/>
      <c r="AX59" s="251"/>
      <c r="AY59" s="251"/>
      <c r="AZ59" s="251"/>
      <c r="BA59" s="251"/>
      <c r="BB59" s="9"/>
      <c r="BC59" s="9"/>
      <c r="BD59" s="9"/>
      <c r="BE59" s="9"/>
      <c r="BM59" s="8"/>
      <c r="BO59" s="6"/>
      <c r="BP59" s="6"/>
    </row>
    <row r="60" spans="2:68">
      <c r="B60" s="251"/>
      <c r="C60" s="251"/>
      <c r="D60" s="251"/>
      <c r="E60" s="251"/>
      <c r="F60" s="251"/>
      <c r="G60" s="251"/>
      <c r="H60" s="251"/>
      <c r="I60" s="251"/>
      <c r="J60" s="251"/>
      <c r="K60" s="251"/>
      <c r="L60" s="251"/>
      <c r="M60" s="251"/>
      <c r="N60" s="251"/>
      <c r="O60" s="251"/>
      <c r="P60" s="251"/>
      <c r="Q60" s="251"/>
      <c r="R60" s="251"/>
      <c r="S60" s="251"/>
      <c r="T60" s="251"/>
      <c r="U60" s="251"/>
      <c r="V60" s="251"/>
      <c r="W60" s="251"/>
      <c r="X60" s="252"/>
      <c r="Y60" s="251"/>
      <c r="Z60" s="251"/>
      <c r="AA60" s="251"/>
      <c r="AB60" s="251"/>
      <c r="AC60" s="251"/>
      <c r="AD60" s="251"/>
      <c r="AE60" s="251"/>
      <c r="AF60" s="251"/>
      <c r="AG60" s="251"/>
      <c r="AH60" s="251"/>
      <c r="AI60" s="251"/>
      <c r="AJ60" s="251"/>
      <c r="AK60" s="251"/>
      <c r="AL60" s="251"/>
      <c r="AM60" s="251"/>
      <c r="AN60" s="251"/>
      <c r="AO60" s="251"/>
      <c r="AP60" s="251"/>
      <c r="AQ60" s="251"/>
      <c r="AR60" s="251"/>
      <c r="AS60" s="251"/>
      <c r="AT60" s="251"/>
      <c r="AU60" s="251"/>
      <c r="AV60" s="251"/>
      <c r="AW60" s="251"/>
      <c r="AX60" s="251"/>
      <c r="AY60" s="251"/>
      <c r="AZ60" s="251"/>
      <c r="BA60" s="251"/>
      <c r="BB60" s="9"/>
      <c r="BC60" s="9"/>
      <c r="BD60" s="9"/>
      <c r="BE60" s="9"/>
      <c r="BM60" s="8"/>
      <c r="BO60" s="6"/>
      <c r="BP60" s="6"/>
    </row>
    <row r="61" spans="2:68">
      <c r="B61" s="251"/>
      <c r="C61" s="251"/>
      <c r="D61" s="251"/>
      <c r="E61" s="251"/>
      <c r="F61" s="251"/>
      <c r="G61" s="251"/>
      <c r="H61" s="251"/>
      <c r="I61" s="251"/>
      <c r="J61" s="251"/>
      <c r="K61" s="251"/>
      <c r="L61" s="251"/>
      <c r="M61" s="251"/>
      <c r="N61" s="251"/>
      <c r="O61" s="251"/>
      <c r="P61" s="251"/>
      <c r="Q61" s="251"/>
      <c r="R61" s="251"/>
      <c r="S61" s="251"/>
      <c r="T61" s="251"/>
      <c r="U61" s="251"/>
      <c r="V61" s="251"/>
      <c r="W61" s="251"/>
      <c r="X61" s="252"/>
      <c r="Y61" s="251"/>
      <c r="Z61" s="251"/>
      <c r="AA61" s="251"/>
      <c r="AB61" s="251"/>
      <c r="AC61" s="251"/>
      <c r="AD61" s="251"/>
      <c r="AE61" s="251"/>
      <c r="AF61" s="251"/>
      <c r="AG61" s="251"/>
      <c r="AH61" s="251"/>
      <c r="AI61" s="251"/>
      <c r="AJ61" s="251"/>
      <c r="AK61" s="251"/>
      <c r="AL61" s="251"/>
      <c r="AM61" s="251"/>
      <c r="AN61" s="251"/>
      <c r="AO61" s="251"/>
      <c r="AP61" s="251"/>
      <c r="AQ61" s="251"/>
      <c r="AR61" s="251"/>
      <c r="AS61" s="251"/>
      <c r="AT61" s="251"/>
      <c r="AU61" s="251"/>
      <c r="AV61" s="251"/>
      <c r="AW61" s="251"/>
      <c r="AX61" s="251"/>
      <c r="AY61" s="251"/>
      <c r="AZ61" s="251"/>
      <c r="BA61" s="251"/>
      <c r="BB61" s="9"/>
      <c r="BC61" s="9"/>
      <c r="BD61" s="9"/>
      <c r="BE61" s="9"/>
      <c r="BM61" s="8"/>
      <c r="BO61" s="6"/>
      <c r="BP61" s="6"/>
    </row>
    <row r="62" spans="2:68">
      <c r="B62" s="251"/>
      <c r="C62" s="251"/>
      <c r="D62" s="251"/>
      <c r="E62" s="251"/>
      <c r="F62" s="251"/>
      <c r="G62" s="251"/>
      <c r="H62" s="251"/>
      <c r="I62" s="251"/>
      <c r="J62" s="251"/>
      <c r="K62" s="251"/>
      <c r="L62" s="251"/>
      <c r="M62" s="251"/>
      <c r="N62" s="251"/>
      <c r="O62" s="251"/>
      <c r="P62" s="251"/>
      <c r="Q62" s="251"/>
      <c r="R62" s="251"/>
      <c r="S62" s="251"/>
      <c r="T62" s="251"/>
      <c r="U62" s="251"/>
      <c r="V62" s="251"/>
      <c r="W62" s="251"/>
      <c r="X62" s="251"/>
      <c r="Y62" s="251"/>
      <c r="Z62" s="251"/>
      <c r="AA62" s="251"/>
      <c r="AB62" s="251"/>
      <c r="AC62" s="251"/>
      <c r="AD62" s="251"/>
      <c r="AE62" s="251"/>
      <c r="AF62" s="251"/>
      <c r="AG62" s="251"/>
      <c r="AH62" s="251"/>
      <c r="AI62" s="251"/>
      <c r="AJ62" s="251"/>
      <c r="AK62" s="251"/>
      <c r="AL62" s="251"/>
      <c r="AM62" s="251"/>
      <c r="AN62" s="251"/>
      <c r="AO62" s="251"/>
      <c r="AP62" s="251"/>
      <c r="AQ62" s="251"/>
      <c r="AR62" s="251"/>
      <c r="AS62" s="251"/>
      <c r="AT62" s="251"/>
      <c r="AU62" s="251"/>
      <c r="AV62" s="251"/>
      <c r="AW62" s="251"/>
      <c r="AX62" s="251"/>
      <c r="AY62" s="251"/>
      <c r="AZ62" s="251"/>
      <c r="BA62" s="251"/>
      <c r="BB62" s="9"/>
      <c r="BC62" s="9"/>
      <c r="BD62" s="9"/>
      <c r="BE62" s="9"/>
      <c r="BM62" s="8"/>
      <c r="BO62" s="6"/>
      <c r="BP62" s="6"/>
    </row>
    <row r="63" spans="2:68">
      <c r="B63" s="251"/>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c r="AA63" s="251"/>
      <c r="AB63" s="251"/>
      <c r="AC63" s="251"/>
      <c r="AD63" s="251"/>
      <c r="AE63" s="251"/>
      <c r="AF63" s="251"/>
      <c r="AG63" s="251"/>
      <c r="AH63" s="251"/>
      <c r="AI63" s="251"/>
      <c r="AJ63" s="251"/>
      <c r="AK63" s="251"/>
      <c r="AL63" s="251"/>
      <c r="AM63" s="251"/>
      <c r="AN63" s="251"/>
      <c r="AO63" s="251"/>
      <c r="AP63" s="251"/>
      <c r="AQ63" s="251"/>
      <c r="AR63" s="251"/>
      <c r="AS63" s="251"/>
      <c r="AT63" s="251"/>
      <c r="AU63" s="251"/>
      <c r="AV63" s="251"/>
      <c r="AW63" s="251"/>
      <c r="AX63" s="251"/>
      <c r="AY63" s="251"/>
      <c r="AZ63" s="251"/>
      <c r="BA63" s="251"/>
      <c r="BB63" s="9"/>
      <c r="BC63" s="9"/>
      <c r="BD63" s="9"/>
      <c r="BE63" s="9"/>
      <c r="BM63" s="8"/>
      <c r="BO63" s="6"/>
      <c r="BP63" s="6"/>
    </row>
    <row r="64" spans="2:68">
      <c r="B64" s="251"/>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c r="AA64" s="251"/>
      <c r="AB64" s="251"/>
      <c r="AC64" s="251"/>
      <c r="AD64" s="251"/>
      <c r="AE64" s="251"/>
      <c r="AF64" s="251"/>
      <c r="AG64" s="251"/>
      <c r="AH64" s="251"/>
      <c r="AI64" s="251"/>
      <c r="AJ64" s="251"/>
      <c r="AK64" s="251"/>
      <c r="AL64" s="251"/>
      <c r="AM64" s="251"/>
      <c r="AN64" s="251"/>
      <c r="AO64" s="251"/>
      <c r="AP64" s="251"/>
      <c r="AQ64" s="251"/>
      <c r="AR64" s="251"/>
      <c r="AS64" s="251"/>
      <c r="AT64" s="251"/>
      <c r="AU64" s="251"/>
      <c r="AV64" s="251"/>
      <c r="AW64" s="251"/>
      <c r="AX64" s="251"/>
      <c r="AY64" s="251"/>
      <c r="AZ64" s="251"/>
      <c r="BA64" s="251"/>
      <c r="BB64" s="9"/>
      <c r="BC64" s="9"/>
      <c r="BD64" s="9"/>
      <c r="BE64" s="9"/>
      <c r="BM64" s="8"/>
      <c r="BO64" s="6"/>
      <c r="BP64" s="6"/>
    </row>
    <row r="65" spans="2:68">
      <c r="B65" s="251"/>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c r="AA65" s="251"/>
      <c r="AB65" s="251"/>
      <c r="AC65" s="251"/>
      <c r="AD65" s="251"/>
      <c r="AE65" s="251"/>
      <c r="AF65" s="251"/>
      <c r="AG65" s="251"/>
      <c r="AH65" s="251"/>
      <c r="AI65" s="251"/>
      <c r="AJ65" s="251"/>
      <c r="AK65" s="251"/>
      <c r="AL65" s="251"/>
      <c r="AM65" s="251"/>
      <c r="AN65" s="251"/>
      <c r="AO65" s="251"/>
      <c r="AP65" s="251"/>
      <c r="AQ65" s="251"/>
      <c r="AR65" s="251"/>
      <c r="AS65" s="251"/>
      <c r="AT65" s="251"/>
      <c r="AU65" s="251"/>
      <c r="AV65" s="251"/>
      <c r="AW65" s="251"/>
      <c r="AX65" s="251"/>
      <c r="AY65" s="251"/>
      <c r="AZ65" s="251"/>
      <c r="BA65" s="251"/>
      <c r="BB65" s="9"/>
      <c r="BC65" s="9"/>
      <c r="BD65" s="9"/>
      <c r="BE65" s="9"/>
      <c r="BM65" s="8"/>
      <c r="BO65" s="6"/>
      <c r="BP65" s="6"/>
    </row>
    <row r="66" spans="2:68">
      <c r="B66" s="251"/>
      <c r="C66" s="251"/>
      <c r="D66" s="251"/>
      <c r="E66" s="251"/>
      <c r="F66" s="251"/>
      <c r="G66" s="251"/>
      <c r="H66" s="251"/>
      <c r="I66" s="251"/>
      <c r="J66" s="251"/>
      <c r="K66" s="251"/>
      <c r="L66" s="251"/>
      <c r="M66" s="251"/>
      <c r="N66" s="251"/>
      <c r="O66" s="251"/>
      <c r="P66" s="251"/>
      <c r="Q66" s="251"/>
      <c r="R66" s="251"/>
      <c r="S66" s="251"/>
      <c r="T66" s="251"/>
      <c r="U66" s="251"/>
      <c r="V66" s="251"/>
      <c r="W66" s="251"/>
      <c r="X66" s="251"/>
      <c r="Y66" s="251"/>
      <c r="Z66" s="251"/>
      <c r="AA66" s="251"/>
      <c r="AB66" s="251"/>
      <c r="AC66" s="251"/>
      <c r="AD66" s="251"/>
      <c r="AE66" s="251"/>
      <c r="AF66" s="251"/>
      <c r="AG66" s="251"/>
      <c r="AH66" s="251"/>
      <c r="AI66" s="251"/>
      <c r="AJ66" s="251"/>
      <c r="AK66" s="251"/>
      <c r="AL66" s="251"/>
      <c r="AM66" s="251"/>
      <c r="AN66" s="251"/>
      <c r="AO66" s="251"/>
      <c r="AP66" s="251"/>
      <c r="AQ66" s="251"/>
      <c r="AR66" s="251"/>
      <c r="AS66" s="251"/>
      <c r="AT66" s="251"/>
      <c r="AU66" s="251"/>
      <c r="AV66" s="251"/>
      <c r="AW66" s="251"/>
      <c r="AX66" s="251"/>
      <c r="AY66" s="251"/>
      <c r="AZ66" s="251"/>
      <c r="BA66" s="251"/>
      <c r="BB66" s="9"/>
      <c r="BC66" s="9"/>
      <c r="BD66" s="9"/>
      <c r="BE66" s="9"/>
      <c r="BM66" s="8"/>
      <c r="BO66" s="6"/>
      <c r="BP66" s="6"/>
    </row>
    <row r="67" spans="2:68">
      <c r="B67" s="251"/>
      <c r="C67" s="251"/>
      <c r="D67" s="251"/>
      <c r="E67" s="251"/>
      <c r="F67" s="251"/>
      <c r="G67" s="251"/>
      <c r="H67" s="251"/>
      <c r="I67" s="251"/>
      <c r="J67" s="251"/>
      <c r="K67" s="251"/>
      <c r="L67" s="251"/>
      <c r="M67" s="251"/>
      <c r="N67" s="251"/>
      <c r="O67" s="251"/>
      <c r="P67" s="251"/>
      <c r="Q67" s="251"/>
      <c r="R67" s="251"/>
      <c r="S67" s="251"/>
      <c r="T67" s="251"/>
      <c r="U67" s="251"/>
      <c r="V67" s="251"/>
      <c r="W67" s="251"/>
      <c r="X67" s="251"/>
      <c r="Y67" s="251"/>
      <c r="Z67" s="251"/>
      <c r="AA67" s="251"/>
      <c r="AB67" s="251"/>
      <c r="AC67" s="251"/>
      <c r="AD67" s="251"/>
      <c r="AE67" s="251"/>
      <c r="AF67" s="251"/>
      <c r="AG67" s="251"/>
      <c r="AH67" s="251"/>
      <c r="AI67" s="251"/>
      <c r="AJ67" s="251"/>
      <c r="AK67" s="251"/>
      <c r="AL67" s="251"/>
      <c r="AM67" s="251"/>
      <c r="AN67" s="251"/>
      <c r="AO67" s="251"/>
      <c r="AP67" s="251"/>
      <c r="AQ67" s="251"/>
      <c r="AR67" s="251"/>
      <c r="AS67" s="251"/>
      <c r="AT67" s="251"/>
      <c r="AU67" s="251"/>
      <c r="AV67" s="251"/>
      <c r="AW67" s="251"/>
      <c r="AX67" s="251"/>
      <c r="AY67" s="251"/>
      <c r="AZ67" s="251"/>
      <c r="BA67" s="251"/>
      <c r="BB67" s="9"/>
      <c r="BC67" s="9"/>
      <c r="BD67" s="9"/>
      <c r="BE67" s="9"/>
      <c r="BM67" s="8"/>
      <c r="BO67" s="6"/>
      <c r="BP67" s="6"/>
    </row>
    <row r="68" spans="2:68">
      <c r="B68" s="251"/>
      <c r="C68" s="251"/>
      <c r="D68" s="251"/>
      <c r="E68" s="251"/>
      <c r="F68" s="251"/>
      <c r="G68" s="251"/>
      <c r="H68" s="251"/>
      <c r="I68" s="251"/>
      <c r="J68" s="251"/>
      <c r="K68" s="251"/>
      <c r="L68" s="251"/>
      <c r="M68" s="251"/>
      <c r="N68" s="251"/>
      <c r="O68" s="251"/>
      <c r="P68" s="251"/>
      <c r="Q68" s="251"/>
      <c r="R68" s="251"/>
      <c r="S68" s="251"/>
      <c r="T68" s="251"/>
      <c r="U68" s="251"/>
      <c r="V68" s="251"/>
      <c r="W68" s="251"/>
      <c r="X68" s="251"/>
      <c r="Y68" s="251"/>
      <c r="Z68" s="251"/>
      <c r="AA68" s="251"/>
      <c r="AB68" s="251"/>
      <c r="AC68" s="251"/>
      <c r="AD68" s="251"/>
      <c r="AE68" s="251"/>
      <c r="AF68" s="251"/>
      <c r="AG68" s="251"/>
      <c r="AH68" s="251"/>
      <c r="AI68" s="251"/>
      <c r="AJ68" s="251"/>
      <c r="AK68" s="251"/>
      <c r="AL68" s="251"/>
      <c r="AM68" s="251"/>
      <c r="AN68" s="251"/>
      <c r="AO68" s="251"/>
      <c r="AP68" s="251"/>
      <c r="AQ68" s="251"/>
      <c r="AR68" s="251"/>
      <c r="AS68" s="251"/>
      <c r="AT68" s="251"/>
      <c r="AU68" s="251"/>
      <c r="AV68" s="251"/>
      <c r="AW68" s="251"/>
      <c r="AX68" s="251"/>
      <c r="AY68" s="251"/>
      <c r="AZ68" s="251"/>
      <c r="BA68" s="251"/>
      <c r="BB68" s="9"/>
      <c r="BC68" s="9"/>
      <c r="BD68" s="9"/>
      <c r="BE68" s="9"/>
      <c r="BM68" s="8"/>
      <c r="BO68" s="6"/>
      <c r="BP68" s="6"/>
    </row>
    <row r="69" spans="2:68">
      <c r="B69" s="251"/>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c r="AA69" s="251"/>
      <c r="AB69" s="251"/>
      <c r="AC69" s="251"/>
      <c r="AD69" s="251"/>
      <c r="AE69" s="251"/>
      <c r="AF69" s="251"/>
      <c r="AG69" s="251"/>
      <c r="AH69" s="251"/>
      <c r="AI69" s="251"/>
      <c r="AJ69" s="251"/>
      <c r="AK69" s="251"/>
      <c r="AL69" s="251"/>
      <c r="AM69" s="251"/>
      <c r="AN69" s="251"/>
      <c r="AO69" s="251"/>
      <c r="AP69" s="251"/>
      <c r="AQ69" s="251"/>
      <c r="AR69" s="251"/>
      <c r="AS69" s="251"/>
      <c r="AT69" s="251"/>
      <c r="AU69" s="251"/>
      <c r="AV69" s="251"/>
      <c r="AW69" s="251"/>
      <c r="AX69" s="251"/>
      <c r="AY69" s="251"/>
      <c r="AZ69" s="251"/>
      <c r="BA69" s="251"/>
      <c r="BB69" s="9"/>
      <c r="BC69" s="9"/>
      <c r="BD69" s="9"/>
      <c r="BE69" s="9"/>
      <c r="BM69" s="8"/>
      <c r="BO69" s="6"/>
      <c r="BP69" s="6"/>
    </row>
    <row r="70" spans="2:68">
      <c r="B70" s="251"/>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c r="AA70" s="251"/>
      <c r="AB70" s="251"/>
      <c r="AC70" s="251"/>
      <c r="AD70" s="251"/>
      <c r="AE70" s="251"/>
      <c r="AF70" s="251"/>
      <c r="AG70" s="251"/>
      <c r="AH70" s="251"/>
      <c r="AI70" s="251"/>
      <c r="AJ70" s="251"/>
      <c r="AK70" s="251"/>
      <c r="AL70" s="251"/>
      <c r="AM70" s="251"/>
      <c r="AN70" s="251"/>
      <c r="AO70" s="251"/>
      <c r="AP70" s="251"/>
      <c r="AQ70" s="251"/>
      <c r="AR70" s="251"/>
      <c r="AS70" s="251"/>
      <c r="AT70" s="251"/>
      <c r="AU70" s="251"/>
      <c r="AV70" s="251"/>
      <c r="AW70" s="251"/>
      <c r="AX70" s="251"/>
      <c r="AY70" s="251"/>
      <c r="AZ70" s="251"/>
      <c r="BA70" s="251"/>
      <c r="BB70" s="9"/>
      <c r="BC70" s="9"/>
      <c r="BD70" s="9"/>
      <c r="BE70" s="9"/>
      <c r="BM70" s="8"/>
      <c r="BO70" s="6"/>
      <c r="BP70" s="6"/>
    </row>
    <row r="71" spans="2:68" s="320" customFormat="1">
      <c r="B71" s="321"/>
      <c r="C71" s="321"/>
      <c r="D71" s="321"/>
      <c r="E71" s="321"/>
      <c r="F71" s="321"/>
      <c r="G71" s="321"/>
      <c r="H71" s="321"/>
      <c r="I71" s="321"/>
      <c r="J71" s="321"/>
      <c r="K71" s="321"/>
      <c r="L71" s="321"/>
      <c r="M71" s="321"/>
      <c r="N71" s="321"/>
      <c r="O71" s="321"/>
      <c r="P71" s="321"/>
      <c r="Q71" s="321"/>
      <c r="R71" s="321"/>
      <c r="S71" s="321"/>
      <c r="T71" s="321"/>
      <c r="U71" s="321"/>
      <c r="V71" s="321"/>
      <c r="W71" s="321"/>
      <c r="X71" s="321"/>
      <c r="Y71" s="321"/>
      <c r="Z71" s="321"/>
      <c r="AA71" s="321"/>
      <c r="AB71" s="321"/>
      <c r="AC71" s="321"/>
      <c r="AD71" s="321"/>
      <c r="AE71" s="321"/>
      <c r="AF71" s="321"/>
      <c r="AG71" s="321"/>
      <c r="AH71" s="321"/>
      <c r="AI71" s="321"/>
      <c r="AJ71" s="321"/>
      <c r="AK71" s="321"/>
      <c r="AL71" s="321"/>
      <c r="AM71" s="321"/>
      <c r="AN71" s="321"/>
      <c r="AO71" s="321"/>
      <c r="AP71" s="321"/>
      <c r="AQ71" s="321"/>
      <c r="AR71" s="321"/>
      <c r="AS71" s="321"/>
      <c r="AT71" s="321"/>
      <c r="AU71" s="321"/>
      <c r="AV71" s="321"/>
      <c r="AW71" s="321"/>
      <c r="AX71" s="321"/>
      <c r="AY71" s="321"/>
      <c r="AZ71" s="321"/>
      <c r="BA71" s="321"/>
      <c r="BB71" s="319"/>
      <c r="BC71" s="319"/>
      <c r="BD71" s="319"/>
      <c r="BE71" s="9"/>
      <c r="BG71" s="3"/>
      <c r="BH71" s="3"/>
      <c r="BJ71" s="3"/>
      <c r="BK71" s="3"/>
      <c r="BM71" s="322"/>
      <c r="BO71" s="319"/>
      <c r="BP71" s="319"/>
    </row>
    <row r="72" spans="2:68">
      <c r="B72" s="251"/>
      <c r="C72" s="251"/>
      <c r="D72" s="251"/>
      <c r="E72" s="251"/>
      <c r="F72" s="251"/>
      <c r="G72" s="251"/>
      <c r="H72" s="251"/>
      <c r="I72" s="251"/>
      <c r="J72" s="251"/>
      <c r="K72" s="251"/>
      <c r="L72" s="251"/>
      <c r="M72" s="251"/>
      <c r="N72" s="251"/>
      <c r="O72" s="251"/>
      <c r="P72" s="251"/>
      <c r="Q72" s="251"/>
      <c r="R72" s="251"/>
      <c r="S72" s="251"/>
      <c r="T72" s="251"/>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9"/>
      <c r="BC72" s="9"/>
      <c r="BD72" s="9"/>
      <c r="BE72" s="9"/>
      <c r="BM72" s="8"/>
      <c r="BO72" s="6"/>
      <c r="BP72" s="6"/>
    </row>
    <row r="73" spans="2:68">
      <c r="B73" s="251"/>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c r="AA73" s="251"/>
      <c r="AB73" s="251"/>
      <c r="AC73" s="251"/>
      <c r="AD73" s="251"/>
      <c r="AE73" s="251"/>
      <c r="AF73" s="251"/>
      <c r="AG73" s="251"/>
      <c r="AH73" s="251"/>
      <c r="AI73" s="251"/>
      <c r="AJ73" s="251"/>
      <c r="AK73" s="251"/>
      <c r="AL73" s="251"/>
      <c r="AM73" s="251"/>
      <c r="AN73" s="251"/>
      <c r="AO73" s="251"/>
      <c r="AP73" s="251"/>
      <c r="AQ73" s="251"/>
      <c r="AR73" s="251"/>
      <c r="AS73" s="251"/>
      <c r="AT73" s="251"/>
      <c r="AU73" s="251"/>
      <c r="AV73" s="251"/>
      <c r="AW73" s="251"/>
      <c r="AX73" s="251"/>
      <c r="AY73" s="251"/>
      <c r="AZ73" s="251"/>
      <c r="BA73" s="251"/>
      <c r="BB73" s="9"/>
      <c r="BC73" s="9"/>
      <c r="BD73" s="9"/>
      <c r="BE73" s="9"/>
      <c r="BM73" s="8"/>
      <c r="BO73" s="6"/>
      <c r="BP73" s="6"/>
    </row>
    <row r="74" spans="2:68">
      <c r="B74" s="251"/>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c r="AA74" s="251"/>
      <c r="AB74" s="251"/>
      <c r="AC74" s="251"/>
      <c r="AD74" s="251"/>
      <c r="AE74" s="251"/>
      <c r="AF74" s="251"/>
      <c r="AG74" s="251"/>
      <c r="AH74" s="251"/>
      <c r="AI74" s="251"/>
      <c r="AJ74" s="251"/>
      <c r="AK74" s="251"/>
      <c r="AL74" s="251"/>
      <c r="AM74" s="251"/>
      <c r="AN74" s="251"/>
      <c r="AO74" s="251"/>
      <c r="AP74" s="251"/>
      <c r="AQ74" s="251"/>
      <c r="AR74" s="251"/>
      <c r="AS74" s="251"/>
      <c r="AT74" s="251"/>
      <c r="AU74" s="251"/>
      <c r="AV74" s="251"/>
      <c r="AW74" s="251"/>
      <c r="AX74" s="251"/>
      <c r="AY74" s="251"/>
      <c r="AZ74" s="251"/>
      <c r="BA74" s="251"/>
      <c r="BB74" s="9"/>
      <c r="BC74" s="9"/>
      <c r="BD74" s="9"/>
      <c r="BE74" s="9"/>
      <c r="BM74" s="8"/>
      <c r="BO74" s="6"/>
      <c r="BP74" s="6"/>
    </row>
    <row r="75" spans="2:68">
      <c r="B75" s="251"/>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c r="AA75" s="251"/>
      <c r="AB75" s="251"/>
      <c r="AC75" s="251"/>
      <c r="AD75" s="251"/>
      <c r="AE75" s="251"/>
      <c r="AF75" s="251"/>
      <c r="AG75" s="251"/>
      <c r="AH75" s="251"/>
      <c r="AI75" s="251"/>
      <c r="AJ75" s="251"/>
      <c r="AK75" s="251"/>
      <c r="AL75" s="251"/>
      <c r="AM75" s="251"/>
      <c r="AN75" s="251"/>
      <c r="AO75" s="251"/>
      <c r="AP75" s="251"/>
      <c r="AQ75" s="251"/>
      <c r="AR75" s="251"/>
      <c r="AS75" s="251"/>
      <c r="AT75" s="251"/>
      <c r="AU75" s="251"/>
      <c r="AV75" s="251"/>
      <c r="AW75" s="251"/>
      <c r="AX75" s="251"/>
      <c r="AY75" s="251"/>
      <c r="AZ75" s="251"/>
      <c r="BA75" s="251"/>
      <c r="BB75" s="9"/>
      <c r="BC75" s="9"/>
      <c r="BD75" s="9"/>
      <c r="BE75" s="9"/>
      <c r="BM75" s="8"/>
      <c r="BO75" s="6"/>
      <c r="BP75" s="6"/>
    </row>
    <row r="76" spans="2:68">
      <c r="B76" s="251"/>
      <c r="C76" s="251"/>
      <c r="D76" s="251"/>
      <c r="E76" s="251"/>
      <c r="F76" s="251"/>
      <c r="G76" s="251"/>
      <c r="H76" s="251"/>
      <c r="I76" s="251"/>
      <c r="J76" s="251"/>
      <c r="K76" s="251"/>
      <c r="L76" s="251"/>
      <c r="M76" s="251"/>
      <c r="N76" s="251"/>
      <c r="O76" s="251"/>
      <c r="P76" s="251"/>
      <c r="Q76" s="251"/>
      <c r="R76" s="251"/>
      <c r="S76" s="251"/>
      <c r="T76" s="251"/>
      <c r="U76" s="251"/>
      <c r="V76" s="251"/>
      <c r="W76" s="251"/>
      <c r="X76" s="251"/>
      <c r="Y76" s="251"/>
      <c r="Z76" s="251"/>
      <c r="AA76" s="251"/>
      <c r="AB76" s="251"/>
      <c r="AC76" s="251"/>
      <c r="AD76" s="251"/>
      <c r="AE76" s="251"/>
      <c r="AF76" s="251"/>
      <c r="AG76" s="251"/>
      <c r="AH76" s="251"/>
      <c r="AI76" s="251"/>
      <c r="AJ76" s="251"/>
      <c r="AK76" s="251"/>
      <c r="AL76" s="251"/>
      <c r="AM76" s="251"/>
      <c r="AN76" s="251"/>
      <c r="AO76" s="251"/>
      <c r="AP76" s="251"/>
      <c r="AQ76" s="251"/>
      <c r="AR76" s="251"/>
      <c r="AS76" s="251"/>
      <c r="AT76" s="251"/>
      <c r="AU76" s="251"/>
      <c r="AV76" s="251"/>
      <c r="AW76" s="251"/>
      <c r="AX76" s="251"/>
      <c r="AY76" s="251"/>
      <c r="AZ76" s="251"/>
      <c r="BA76" s="251"/>
      <c r="BB76" s="9"/>
      <c r="BC76" s="9"/>
      <c r="BD76" s="9"/>
      <c r="BE76" s="9"/>
      <c r="BM76" s="8"/>
      <c r="BO76" s="6"/>
      <c r="BP76" s="6"/>
    </row>
    <row r="77" spans="2:68">
      <c r="B77" s="251"/>
      <c r="C77" s="251"/>
      <c r="D77" s="251"/>
      <c r="E77" s="251"/>
      <c r="F77" s="251"/>
      <c r="G77" s="251"/>
      <c r="H77" s="251"/>
      <c r="I77" s="251"/>
      <c r="J77" s="251"/>
      <c r="K77" s="251"/>
      <c r="L77" s="251"/>
      <c r="M77" s="251"/>
      <c r="N77" s="251"/>
      <c r="O77" s="251"/>
      <c r="P77" s="251"/>
      <c r="Q77" s="251"/>
      <c r="R77" s="251"/>
      <c r="S77" s="251"/>
      <c r="T77" s="251"/>
      <c r="U77" s="251"/>
      <c r="V77" s="251"/>
      <c r="W77" s="251"/>
      <c r="X77" s="251"/>
      <c r="Y77" s="251"/>
      <c r="Z77" s="251"/>
      <c r="AA77" s="251"/>
      <c r="AB77" s="251"/>
      <c r="AC77" s="251"/>
      <c r="AD77" s="251"/>
      <c r="AE77" s="251"/>
      <c r="AF77" s="251"/>
      <c r="AG77" s="251"/>
      <c r="AH77" s="251"/>
      <c r="AI77" s="251"/>
      <c r="AJ77" s="251"/>
      <c r="AK77" s="251"/>
      <c r="AL77" s="251"/>
      <c r="AM77" s="251"/>
      <c r="AN77" s="251"/>
      <c r="AO77" s="251"/>
      <c r="AP77" s="251"/>
      <c r="AQ77" s="251"/>
      <c r="AR77" s="251"/>
      <c r="AS77" s="251"/>
      <c r="AT77" s="251"/>
      <c r="AU77" s="251"/>
      <c r="AV77" s="251"/>
      <c r="AW77" s="251"/>
      <c r="AX77" s="251"/>
      <c r="AY77" s="251"/>
      <c r="AZ77" s="251"/>
      <c r="BA77" s="251"/>
      <c r="BB77" s="9"/>
      <c r="BC77" s="9"/>
      <c r="BD77" s="9"/>
      <c r="BE77" s="9"/>
      <c r="BM77" s="8"/>
      <c r="BO77" s="6"/>
      <c r="BP77" s="6"/>
    </row>
    <row r="78" spans="2:68">
      <c r="B78" s="251"/>
      <c r="C78" s="251"/>
      <c r="D78" s="251"/>
      <c r="E78" s="251"/>
      <c r="F78" s="251"/>
      <c r="G78" s="251"/>
      <c r="H78" s="251"/>
      <c r="I78" s="251"/>
      <c r="J78" s="251"/>
      <c r="K78" s="251"/>
      <c r="L78" s="251"/>
      <c r="M78" s="251"/>
      <c r="N78" s="251"/>
      <c r="O78" s="251"/>
      <c r="P78" s="251"/>
      <c r="Q78" s="251"/>
      <c r="R78" s="251"/>
      <c r="S78" s="251"/>
      <c r="T78" s="251"/>
      <c r="U78" s="251"/>
      <c r="V78" s="251"/>
      <c r="W78" s="251"/>
      <c r="X78" s="251"/>
      <c r="Y78" s="251"/>
      <c r="Z78" s="251"/>
      <c r="AA78" s="251"/>
      <c r="AB78" s="251"/>
      <c r="AC78" s="251"/>
      <c r="AD78" s="251"/>
      <c r="AE78" s="251"/>
      <c r="AF78" s="251"/>
      <c r="AG78" s="251"/>
      <c r="AH78" s="251"/>
      <c r="AI78" s="251"/>
      <c r="AJ78" s="251"/>
      <c r="AK78" s="251"/>
      <c r="AL78" s="251"/>
      <c r="AM78" s="251"/>
      <c r="AN78" s="251"/>
      <c r="AO78" s="251"/>
      <c r="AP78" s="251"/>
      <c r="AQ78" s="251"/>
      <c r="AR78" s="251"/>
      <c r="AS78" s="251"/>
      <c r="AT78" s="251"/>
      <c r="AU78" s="251"/>
      <c r="AV78" s="251"/>
      <c r="AW78" s="251"/>
      <c r="AX78" s="251"/>
      <c r="AY78" s="251"/>
      <c r="AZ78" s="251"/>
      <c r="BA78" s="251"/>
      <c r="BB78" s="9"/>
      <c r="BC78" s="9"/>
      <c r="BD78" s="9"/>
      <c r="BE78" s="9"/>
      <c r="BM78" s="8"/>
      <c r="BO78" s="6"/>
      <c r="BP78" s="6"/>
    </row>
    <row r="79" spans="2:68">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c r="AA79" s="251"/>
      <c r="AB79" s="251"/>
      <c r="AC79" s="251"/>
      <c r="AD79" s="251"/>
      <c r="AE79" s="251"/>
      <c r="AF79" s="251"/>
      <c r="AG79" s="251"/>
      <c r="AH79" s="251"/>
      <c r="AI79" s="251"/>
      <c r="AJ79" s="251"/>
      <c r="AK79" s="251"/>
      <c r="AL79" s="251"/>
      <c r="AM79" s="251"/>
      <c r="AN79" s="251"/>
      <c r="AO79" s="251"/>
      <c r="AP79" s="251"/>
      <c r="AQ79" s="251"/>
      <c r="AR79" s="251"/>
      <c r="AS79" s="251"/>
      <c r="AT79" s="251"/>
      <c r="AU79" s="251"/>
      <c r="AV79" s="251"/>
      <c r="AW79" s="251"/>
      <c r="AX79" s="251"/>
      <c r="AY79" s="251"/>
      <c r="AZ79" s="251"/>
      <c r="BA79" s="251"/>
      <c r="BB79" s="9"/>
      <c r="BC79" s="9"/>
      <c r="BD79" s="9"/>
      <c r="BE79" s="9"/>
      <c r="BM79" s="8"/>
      <c r="BO79" s="6"/>
      <c r="BP79" s="6"/>
    </row>
    <row r="80" spans="2:68">
      <c r="B80" s="251"/>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c r="AA80" s="251"/>
      <c r="AB80" s="251"/>
      <c r="AC80" s="251"/>
      <c r="AD80" s="251"/>
      <c r="AE80" s="251"/>
      <c r="AF80" s="251"/>
      <c r="AG80" s="251"/>
      <c r="AH80" s="251"/>
      <c r="AI80" s="251"/>
      <c r="AJ80" s="251"/>
      <c r="AK80" s="251"/>
      <c r="AL80" s="251"/>
      <c r="AM80" s="251"/>
      <c r="AN80" s="251"/>
      <c r="AO80" s="251"/>
      <c r="AP80" s="251"/>
      <c r="AQ80" s="251"/>
      <c r="AR80" s="251"/>
      <c r="AS80" s="251"/>
      <c r="AT80" s="251"/>
      <c r="AU80" s="251"/>
      <c r="AV80" s="251"/>
      <c r="AW80" s="251"/>
      <c r="AX80" s="251"/>
      <c r="AY80" s="251"/>
      <c r="AZ80" s="251"/>
      <c r="BA80" s="251"/>
      <c r="BB80" s="9"/>
      <c r="BC80" s="9"/>
      <c r="BD80" s="9"/>
      <c r="BE80" s="9"/>
      <c r="BM80" s="8"/>
      <c r="BO80" s="6"/>
      <c r="BP80" s="6"/>
    </row>
    <row r="81" spans="1:68">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251"/>
      <c r="AV81" s="251"/>
      <c r="AW81" s="251"/>
      <c r="AX81" s="251"/>
      <c r="AY81" s="251"/>
      <c r="AZ81" s="251"/>
      <c r="BA81" s="251"/>
      <c r="BB81" s="9"/>
      <c r="BC81" s="9"/>
      <c r="BD81" s="9"/>
      <c r="BE81" s="9"/>
      <c r="BM81" s="8"/>
      <c r="BO81" s="6"/>
      <c r="BP81" s="6"/>
    </row>
    <row r="82" spans="1:68">
      <c r="B82" s="251"/>
      <c r="C82" s="251"/>
      <c r="D82" s="251"/>
      <c r="E82" s="251"/>
      <c r="F82" s="251"/>
      <c r="G82" s="251"/>
      <c r="H82" s="251"/>
      <c r="I82" s="251"/>
      <c r="J82" s="251"/>
      <c r="K82" s="251"/>
      <c r="L82" s="251"/>
      <c r="M82" s="251"/>
      <c r="N82" s="251"/>
      <c r="O82" s="251"/>
      <c r="P82" s="251"/>
      <c r="Q82" s="251"/>
      <c r="R82" s="251"/>
      <c r="S82" s="251"/>
      <c r="T82" s="251"/>
      <c r="U82" s="251"/>
      <c r="V82" s="251"/>
      <c r="W82" s="251"/>
      <c r="X82" s="251"/>
      <c r="Y82" s="251"/>
      <c r="Z82" s="251"/>
      <c r="AA82" s="251"/>
      <c r="AB82" s="251"/>
      <c r="AC82" s="251"/>
      <c r="AD82" s="251"/>
      <c r="AE82" s="251"/>
      <c r="AF82" s="251"/>
      <c r="AG82" s="251"/>
      <c r="AH82" s="251"/>
      <c r="AI82" s="251"/>
      <c r="AJ82" s="251"/>
      <c r="AK82" s="251"/>
      <c r="AL82" s="251"/>
      <c r="AM82" s="251"/>
      <c r="AN82" s="251"/>
      <c r="AO82" s="251"/>
      <c r="AP82" s="251"/>
      <c r="AQ82" s="251"/>
      <c r="AR82" s="251"/>
      <c r="AS82" s="251"/>
      <c r="AT82" s="251"/>
      <c r="AU82" s="251"/>
      <c r="AV82" s="251"/>
      <c r="AW82" s="251"/>
      <c r="AX82" s="251"/>
      <c r="AY82" s="251"/>
      <c r="AZ82" s="251"/>
      <c r="BA82" s="251"/>
      <c r="BB82" s="9"/>
      <c r="BC82" s="9"/>
      <c r="BD82" s="9"/>
      <c r="BE82" s="9"/>
      <c r="BM82" s="8"/>
      <c r="BO82" s="6"/>
      <c r="BP82" s="6"/>
    </row>
    <row r="83" spans="1:68">
      <c r="B83" s="251"/>
      <c r="C83" s="251"/>
      <c r="D83" s="251"/>
      <c r="E83" s="251"/>
      <c r="F83" s="251"/>
      <c r="G83" s="251"/>
      <c r="H83" s="251"/>
      <c r="I83" s="251"/>
      <c r="J83" s="251"/>
      <c r="K83" s="251"/>
      <c r="L83" s="251"/>
      <c r="M83" s="251"/>
      <c r="N83" s="251"/>
      <c r="O83" s="251"/>
      <c r="P83" s="251"/>
      <c r="Q83" s="251"/>
      <c r="R83" s="251"/>
      <c r="S83" s="251"/>
      <c r="T83" s="251"/>
      <c r="U83" s="251"/>
      <c r="V83" s="251"/>
      <c r="W83" s="251"/>
      <c r="X83" s="251"/>
      <c r="Y83" s="251"/>
      <c r="Z83" s="251"/>
      <c r="AA83" s="251"/>
      <c r="AB83" s="251"/>
      <c r="AC83" s="251"/>
      <c r="AD83" s="251"/>
      <c r="AE83" s="251"/>
      <c r="AF83" s="251"/>
      <c r="AG83" s="251"/>
      <c r="AH83" s="251"/>
      <c r="AI83" s="251"/>
      <c r="AJ83" s="251"/>
      <c r="AK83" s="251"/>
      <c r="AL83" s="251"/>
      <c r="AM83" s="251"/>
      <c r="AN83" s="251"/>
      <c r="AO83" s="251"/>
      <c r="AP83" s="251"/>
      <c r="AQ83" s="251"/>
      <c r="AR83" s="251"/>
      <c r="AS83" s="251"/>
      <c r="AT83" s="251"/>
      <c r="AU83" s="251"/>
      <c r="AV83" s="251"/>
      <c r="AW83" s="251"/>
      <c r="AX83" s="251"/>
      <c r="AY83" s="251"/>
      <c r="AZ83" s="251"/>
      <c r="BA83" s="251"/>
      <c r="BB83" s="9"/>
      <c r="BC83" s="9"/>
      <c r="BD83" s="9"/>
      <c r="BE83" s="9"/>
      <c r="BM83" s="8"/>
      <c r="BO83" s="6"/>
      <c r="BP83" s="6"/>
    </row>
    <row r="84" spans="1:68">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c r="AA84" s="251"/>
      <c r="AB84" s="251"/>
      <c r="AC84" s="251"/>
      <c r="AD84" s="251"/>
      <c r="AE84" s="251"/>
      <c r="AF84" s="251"/>
      <c r="AG84" s="251"/>
      <c r="AH84" s="251"/>
      <c r="AI84" s="251"/>
      <c r="AJ84" s="251"/>
      <c r="AK84" s="251"/>
      <c r="AL84" s="251"/>
      <c r="AM84" s="251"/>
      <c r="AN84" s="251"/>
      <c r="AO84" s="251"/>
      <c r="AP84" s="251"/>
      <c r="AQ84" s="251"/>
      <c r="AR84" s="251"/>
      <c r="AS84" s="251"/>
      <c r="AT84" s="251"/>
      <c r="AU84" s="251"/>
      <c r="AV84" s="251"/>
      <c r="AW84" s="251"/>
      <c r="AX84" s="251"/>
      <c r="AY84" s="251"/>
      <c r="AZ84" s="251"/>
      <c r="BA84" s="251"/>
      <c r="BB84" s="9"/>
      <c r="BC84" s="9"/>
      <c r="BD84" s="9"/>
      <c r="BE84" s="9"/>
      <c r="BM84" s="8"/>
      <c r="BO84" s="6"/>
      <c r="BP84" s="6"/>
    </row>
    <row r="85" spans="1:68">
      <c r="B85" s="251"/>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1"/>
      <c r="AU85" s="251"/>
      <c r="AV85" s="251"/>
      <c r="AW85" s="251"/>
      <c r="AX85" s="251"/>
      <c r="AY85" s="251"/>
      <c r="AZ85" s="251"/>
      <c r="BA85" s="251"/>
      <c r="BB85" s="9"/>
      <c r="BC85" s="9"/>
      <c r="BD85" s="9"/>
      <c r="BE85" s="9"/>
      <c r="BM85" s="8"/>
      <c r="BO85" s="6"/>
      <c r="BP85" s="6"/>
    </row>
    <row r="86" spans="1:68">
      <c r="B86" s="251"/>
      <c r="C86" s="251"/>
      <c r="D86" s="251"/>
      <c r="E86" s="251"/>
      <c r="F86" s="251"/>
      <c r="G86" s="251"/>
      <c r="H86" s="251"/>
      <c r="I86" s="251"/>
      <c r="J86" s="251"/>
      <c r="K86" s="251"/>
      <c r="L86" s="251"/>
      <c r="M86" s="251"/>
      <c r="N86" s="251"/>
      <c r="O86" s="251"/>
      <c r="P86" s="251"/>
      <c r="Q86" s="251"/>
      <c r="R86" s="251"/>
      <c r="S86" s="251"/>
      <c r="T86" s="251"/>
      <c r="U86" s="251"/>
      <c r="V86" s="251"/>
      <c r="W86" s="251"/>
      <c r="X86" s="251"/>
      <c r="Y86" s="251"/>
      <c r="Z86" s="251"/>
      <c r="AA86" s="251"/>
      <c r="AB86" s="251"/>
      <c r="AC86" s="251"/>
      <c r="AD86" s="251"/>
      <c r="AE86" s="251"/>
      <c r="AF86" s="251"/>
      <c r="AG86" s="251"/>
      <c r="AH86" s="251"/>
      <c r="AI86" s="251"/>
      <c r="AJ86" s="251"/>
      <c r="AK86" s="251"/>
      <c r="AL86" s="251"/>
      <c r="AM86" s="251"/>
      <c r="AN86" s="251"/>
      <c r="AO86" s="251"/>
      <c r="AP86" s="251"/>
      <c r="AQ86" s="251"/>
      <c r="AR86" s="251"/>
      <c r="AS86" s="251"/>
      <c r="AT86" s="251"/>
      <c r="AU86" s="251"/>
      <c r="AV86" s="251"/>
      <c r="AW86" s="251"/>
      <c r="AX86" s="251"/>
      <c r="AY86" s="251"/>
      <c r="AZ86" s="251"/>
      <c r="BA86" s="251"/>
      <c r="BB86" s="9"/>
      <c r="BC86" s="9"/>
      <c r="BD86" s="9"/>
      <c r="BE86" s="9"/>
      <c r="BM86" s="8"/>
      <c r="BO86" s="6"/>
      <c r="BP86" s="6"/>
    </row>
    <row r="87" spans="1:68">
      <c r="B87" s="251"/>
      <c r="C87" s="251"/>
      <c r="D87" s="251"/>
      <c r="E87" s="251"/>
      <c r="F87" s="251"/>
      <c r="G87" s="251"/>
      <c r="H87" s="251"/>
      <c r="I87" s="251"/>
      <c r="J87" s="251"/>
      <c r="K87" s="251"/>
      <c r="L87" s="251"/>
      <c r="M87" s="251"/>
      <c r="N87" s="251"/>
      <c r="O87" s="251"/>
      <c r="P87" s="251"/>
      <c r="Q87" s="251"/>
      <c r="R87" s="251"/>
      <c r="S87" s="251"/>
      <c r="T87" s="251"/>
      <c r="U87" s="251"/>
      <c r="V87" s="251"/>
      <c r="W87" s="251"/>
      <c r="X87" s="251"/>
      <c r="Y87" s="251"/>
      <c r="Z87" s="251"/>
      <c r="AA87" s="251"/>
      <c r="AB87" s="251"/>
      <c r="AC87" s="251"/>
      <c r="AD87" s="251"/>
      <c r="AE87" s="251"/>
      <c r="AF87" s="251"/>
      <c r="AG87" s="251"/>
      <c r="AH87" s="251"/>
      <c r="AI87" s="251"/>
      <c r="AJ87" s="251"/>
      <c r="AK87" s="251"/>
      <c r="AL87" s="251"/>
      <c r="AM87" s="251"/>
      <c r="AN87" s="251"/>
      <c r="AO87" s="251"/>
      <c r="AP87" s="251"/>
      <c r="AQ87" s="251"/>
      <c r="AR87" s="251"/>
      <c r="AS87" s="251"/>
      <c r="AT87" s="251"/>
      <c r="AU87" s="251"/>
      <c r="AV87" s="251"/>
      <c r="AW87" s="251"/>
      <c r="AX87" s="251"/>
      <c r="AY87" s="251"/>
      <c r="AZ87" s="251"/>
      <c r="BA87" s="251"/>
      <c r="BB87" s="9"/>
      <c r="BC87" s="9"/>
      <c r="BD87" s="9"/>
      <c r="BE87" s="9"/>
      <c r="BM87" s="8"/>
      <c r="BO87" s="6"/>
      <c r="BP87" s="6"/>
    </row>
    <row r="88" spans="1:68">
      <c r="B88" s="251"/>
      <c r="C88" s="251"/>
      <c r="D88" s="251"/>
      <c r="E88" s="251"/>
      <c r="F88" s="251"/>
      <c r="G88" s="251"/>
      <c r="H88" s="251"/>
      <c r="I88" s="251"/>
      <c r="J88" s="251"/>
      <c r="K88" s="251"/>
      <c r="L88" s="251"/>
      <c r="M88" s="251"/>
      <c r="N88" s="251"/>
      <c r="O88" s="251"/>
      <c r="P88" s="251"/>
      <c r="Q88" s="251"/>
      <c r="R88" s="251"/>
      <c r="S88" s="251"/>
      <c r="T88" s="251"/>
      <c r="U88" s="251"/>
      <c r="V88" s="251"/>
      <c r="W88" s="251"/>
      <c r="X88" s="251"/>
      <c r="Y88" s="251"/>
      <c r="Z88" s="251"/>
      <c r="AA88" s="251"/>
      <c r="AB88" s="251"/>
      <c r="AC88" s="251"/>
      <c r="AD88" s="251"/>
      <c r="AE88" s="251"/>
      <c r="AF88" s="251"/>
      <c r="AG88" s="251"/>
      <c r="AH88" s="251"/>
      <c r="AI88" s="251"/>
      <c r="AJ88" s="251"/>
      <c r="AK88" s="251"/>
      <c r="AL88" s="251"/>
      <c r="AM88" s="251"/>
      <c r="AN88" s="251"/>
      <c r="AO88" s="251"/>
      <c r="AP88" s="251"/>
      <c r="AQ88" s="251"/>
      <c r="AR88" s="251"/>
      <c r="AS88" s="251"/>
      <c r="AT88" s="251"/>
      <c r="AU88" s="251"/>
      <c r="AV88" s="251"/>
      <c r="AW88" s="251"/>
      <c r="AX88" s="251"/>
      <c r="AY88" s="251"/>
      <c r="AZ88" s="251"/>
      <c r="BA88" s="251"/>
      <c r="BB88" s="9"/>
      <c r="BC88" s="9"/>
      <c r="BD88" s="9"/>
      <c r="BE88" s="9"/>
      <c r="BM88" s="8"/>
      <c r="BO88" s="6"/>
      <c r="BP88" s="6"/>
    </row>
    <row r="90" spans="1:68">
      <c r="A90" s="1"/>
    </row>
    <row r="91" spans="1:68">
      <c r="BB91" s="9"/>
      <c r="BC91" s="9"/>
      <c r="BD91" s="9"/>
      <c r="BE91" s="9"/>
    </row>
    <row r="92" spans="1:68">
      <c r="Z92" s="253"/>
      <c r="BB92" s="9"/>
      <c r="BC92" s="9"/>
      <c r="BD92" s="9"/>
      <c r="BE92" s="9"/>
    </row>
    <row r="93" spans="1:68">
      <c r="B93" s="251"/>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1"/>
      <c r="AA93" s="251"/>
      <c r="AB93" s="251"/>
      <c r="AC93" s="251"/>
      <c r="AD93" s="251"/>
      <c r="AE93" s="251"/>
      <c r="AF93" s="251"/>
      <c r="AG93" s="251"/>
      <c r="AH93" s="251"/>
      <c r="AI93" s="251"/>
      <c r="AJ93" s="251"/>
      <c r="AK93" s="251"/>
      <c r="AL93" s="251"/>
      <c r="AM93" s="251"/>
      <c r="AN93" s="251"/>
      <c r="AO93" s="251"/>
      <c r="AP93" s="251"/>
      <c r="AQ93" s="251"/>
      <c r="AR93" s="251"/>
      <c r="AS93" s="251"/>
      <c r="AT93" s="251"/>
      <c r="AU93" s="251"/>
      <c r="AV93" s="251"/>
      <c r="AW93" s="251"/>
      <c r="AX93" s="251"/>
      <c r="AY93" s="251"/>
      <c r="AZ93" s="251"/>
      <c r="BA93" s="251"/>
      <c r="BB93" s="9"/>
      <c r="BC93" s="9"/>
      <c r="BD93" s="9"/>
      <c r="BE93" s="9"/>
      <c r="BM93" s="8"/>
      <c r="BO93" s="6"/>
      <c r="BP93" s="6"/>
    </row>
    <row r="94" spans="1:68">
      <c r="B94" s="251"/>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1"/>
      <c r="AA94" s="251"/>
      <c r="AB94" s="251"/>
      <c r="AC94" s="251"/>
      <c r="AD94" s="251"/>
      <c r="AE94" s="251"/>
      <c r="AF94" s="251"/>
      <c r="AG94" s="251"/>
      <c r="AH94" s="251"/>
      <c r="AI94" s="251"/>
      <c r="AJ94" s="251"/>
      <c r="AK94" s="251"/>
      <c r="AL94" s="251"/>
      <c r="AM94" s="251"/>
      <c r="AN94" s="251"/>
      <c r="AO94" s="251"/>
      <c r="AP94" s="251"/>
      <c r="AQ94" s="251"/>
      <c r="AR94" s="251"/>
      <c r="AS94" s="251"/>
      <c r="AT94" s="251"/>
      <c r="AU94" s="251"/>
      <c r="AV94" s="251"/>
      <c r="AW94" s="251"/>
      <c r="AX94" s="251"/>
      <c r="AY94" s="251"/>
      <c r="AZ94" s="251"/>
      <c r="BA94" s="251"/>
      <c r="BB94" s="9"/>
      <c r="BC94" s="9"/>
      <c r="BD94" s="9"/>
      <c r="BE94" s="9"/>
      <c r="BM94" s="8"/>
      <c r="BO94" s="6"/>
      <c r="BP94" s="6"/>
    </row>
    <row r="95" spans="1:68">
      <c r="B95" s="251"/>
      <c r="C95" s="251"/>
      <c r="D95" s="251"/>
      <c r="E95" s="251"/>
      <c r="F95" s="251"/>
      <c r="G95" s="251"/>
      <c r="H95" s="251"/>
      <c r="I95" s="251"/>
      <c r="J95" s="251"/>
      <c r="K95" s="251"/>
      <c r="L95" s="251"/>
      <c r="M95" s="251"/>
      <c r="N95" s="251"/>
      <c r="O95" s="251"/>
      <c r="P95" s="251"/>
      <c r="Q95" s="251"/>
      <c r="R95" s="251"/>
      <c r="S95" s="251"/>
      <c r="T95" s="251"/>
      <c r="U95" s="251"/>
      <c r="V95" s="251"/>
      <c r="W95" s="251"/>
      <c r="X95" s="252"/>
      <c r="Y95" s="251"/>
      <c r="Z95" s="251"/>
      <c r="AA95" s="251"/>
      <c r="AB95" s="251"/>
      <c r="AC95" s="251"/>
      <c r="AD95" s="251"/>
      <c r="AE95" s="251"/>
      <c r="AF95" s="251"/>
      <c r="AG95" s="251"/>
      <c r="AH95" s="251"/>
      <c r="AI95" s="251"/>
      <c r="AJ95" s="251"/>
      <c r="AK95" s="251"/>
      <c r="AL95" s="251"/>
      <c r="AM95" s="251"/>
      <c r="AN95" s="251"/>
      <c r="AO95" s="251"/>
      <c r="AP95" s="251"/>
      <c r="AQ95" s="251"/>
      <c r="AR95" s="251"/>
      <c r="AS95" s="251"/>
      <c r="AT95" s="251"/>
      <c r="AU95" s="251"/>
      <c r="AV95" s="251"/>
      <c r="AW95" s="251"/>
      <c r="AX95" s="251"/>
      <c r="AY95" s="251"/>
      <c r="AZ95" s="251"/>
      <c r="BA95" s="251"/>
      <c r="BB95" s="9"/>
      <c r="BC95" s="9"/>
      <c r="BD95" s="9"/>
      <c r="BE95" s="9"/>
      <c r="BM95" s="8"/>
      <c r="BO95" s="6"/>
      <c r="BP95" s="6"/>
    </row>
    <row r="96" spans="1:68">
      <c r="B96" s="25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251"/>
      <c r="AF96" s="251"/>
      <c r="AG96" s="251"/>
      <c r="AH96" s="251"/>
      <c r="AI96" s="251"/>
      <c r="AJ96" s="251"/>
      <c r="AK96" s="251"/>
      <c r="AL96" s="251"/>
      <c r="AM96" s="251"/>
      <c r="AN96" s="251"/>
      <c r="AO96" s="251"/>
      <c r="AP96" s="251"/>
      <c r="AQ96" s="251"/>
      <c r="AR96" s="251"/>
      <c r="AS96" s="251"/>
      <c r="AT96" s="251"/>
      <c r="AU96" s="251"/>
      <c r="AV96" s="251"/>
      <c r="AW96" s="251"/>
      <c r="AX96" s="251"/>
      <c r="AY96" s="251"/>
      <c r="AZ96" s="251"/>
      <c r="BA96" s="251"/>
      <c r="BB96" s="9"/>
      <c r="BC96" s="9"/>
      <c r="BD96" s="9"/>
      <c r="BE96" s="9"/>
      <c r="BM96" s="8"/>
      <c r="BO96" s="6"/>
      <c r="BP96" s="6"/>
    </row>
    <row r="97" spans="2:68">
      <c r="B97" s="251"/>
      <c r="C97" s="251"/>
      <c r="D97" s="251"/>
      <c r="E97" s="251"/>
      <c r="F97" s="251"/>
      <c r="G97" s="251"/>
      <c r="H97" s="251"/>
      <c r="I97" s="251"/>
      <c r="J97" s="251"/>
      <c r="K97" s="251"/>
      <c r="L97" s="251"/>
      <c r="M97" s="251"/>
      <c r="N97" s="251"/>
      <c r="O97" s="251"/>
      <c r="P97" s="251"/>
      <c r="Q97" s="251"/>
      <c r="R97" s="251"/>
      <c r="S97" s="251"/>
      <c r="T97" s="251"/>
      <c r="U97" s="251"/>
      <c r="V97" s="251"/>
      <c r="W97" s="251"/>
      <c r="X97" s="251"/>
      <c r="Y97" s="251"/>
      <c r="Z97" s="251"/>
      <c r="AA97" s="251"/>
      <c r="AB97" s="251"/>
      <c r="AC97" s="251"/>
      <c r="AD97" s="251"/>
      <c r="AE97" s="251"/>
      <c r="AF97" s="251"/>
      <c r="AG97" s="251"/>
      <c r="AH97" s="251"/>
      <c r="AI97" s="251"/>
      <c r="AJ97" s="251"/>
      <c r="AK97" s="251"/>
      <c r="AL97" s="251"/>
      <c r="AM97" s="251"/>
      <c r="AN97" s="251"/>
      <c r="AO97" s="251"/>
      <c r="AP97" s="251"/>
      <c r="AQ97" s="251"/>
      <c r="AR97" s="251"/>
      <c r="AS97" s="251"/>
      <c r="AT97" s="251"/>
      <c r="AU97" s="251"/>
      <c r="AV97" s="251"/>
      <c r="AW97" s="251"/>
      <c r="AX97" s="251"/>
      <c r="AY97" s="251"/>
      <c r="AZ97" s="251"/>
      <c r="BA97" s="251"/>
      <c r="BB97" s="9"/>
      <c r="BC97" s="9"/>
      <c r="BD97" s="9"/>
      <c r="BE97" s="9"/>
      <c r="BM97" s="8"/>
      <c r="BO97" s="6"/>
      <c r="BP97" s="6"/>
    </row>
    <row r="98" spans="2:68">
      <c r="B98" s="251"/>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c r="AA98" s="251"/>
      <c r="AB98" s="251"/>
      <c r="AC98" s="251"/>
      <c r="AD98" s="251"/>
      <c r="AE98" s="251"/>
      <c r="AF98" s="251"/>
      <c r="AG98" s="251"/>
      <c r="AH98" s="251"/>
      <c r="AI98" s="251"/>
      <c r="AJ98" s="251"/>
      <c r="AK98" s="251"/>
      <c r="AL98" s="251"/>
      <c r="AM98" s="251"/>
      <c r="AN98" s="251"/>
      <c r="AO98" s="251"/>
      <c r="AP98" s="251"/>
      <c r="AQ98" s="251"/>
      <c r="AR98" s="251"/>
      <c r="AS98" s="251"/>
      <c r="AT98" s="251"/>
      <c r="AU98" s="251"/>
      <c r="AV98" s="251"/>
      <c r="AW98" s="251"/>
      <c r="AX98" s="251"/>
      <c r="AY98" s="251"/>
      <c r="AZ98" s="251"/>
      <c r="BA98" s="251"/>
      <c r="BB98" s="9"/>
      <c r="BC98" s="9"/>
      <c r="BD98" s="9"/>
      <c r="BE98" s="9"/>
      <c r="BM98" s="8"/>
      <c r="BO98" s="6"/>
      <c r="BP98" s="6"/>
    </row>
    <row r="99" spans="2:68">
      <c r="B99" s="251"/>
      <c r="C99" s="251"/>
      <c r="D99" s="251"/>
      <c r="E99" s="251"/>
      <c r="F99" s="251"/>
      <c r="G99" s="251"/>
      <c r="H99" s="251"/>
      <c r="I99" s="251"/>
      <c r="J99" s="251"/>
      <c r="K99" s="251"/>
      <c r="L99" s="251"/>
      <c r="M99" s="251"/>
      <c r="N99" s="251"/>
      <c r="O99" s="251"/>
      <c r="P99" s="251"/>
      <c r="Q99" s="251"/>
      <c r="R99" s="251"/>
      <c r="S99" s="251"/>
      <c r="T99" s="251"/>
      <c r="U99" s="251"/>
      <c r="V99" s="251"/>
      <c r="W99" s="251"/>
      <c r="X99" s="251"/>
      <c r="Y99" s="251"/>
      <c r="Z99" s="251"/>
      <c r="AA99" s="251"/>
      <c r="AB99" s="251"/>
      <c r="AC99" s="251"/>
      <c r="AD99" s="251"/>
      <c r="AE99" s="251"/>
      <c r="AF99" s="251"/>
      <c r="AG99" s="251"/>
      <c r="AH99" s="251"/>
      <c r="AI99" s="251"/>
      <c r="AJ99" s="251"/>
      <c r="AK99" s="251"/>
      <c r="AL99" s="251"/>
      <c r="AM99" s="251"/>
      <c r="AN99" s="251"/>
      <c r="AO99" s="251"/>
      <c r="AP99" s="251"/>
      <c r="AQ99" s="251"/>
      <c r="AR99" s="251"/>
      <c r="AS99" s="251"/>
      <c r="AT99" s="251"/>
      <c r="AU99" s="251"/>
      <c r="AV99" s="251"/>
      <c r="AW99" s="251"/>
      <c r="AX99" s="251"/>
      <c r="AY99" s="251"/>
      <c r="AZ99" s="251"/>
      <c r="BA99" s="251"/>
      <c r="BB99" s="9"/>
      <c r="BC99" s="9"/>
      <c r="BD99" s="9"/>
      <c r="BE99" s="9"/>
      <c r="BM99" s="8"/>
      <c r="BO99" s="6"/>
      <c r="BP99" s="6"/>
    </row>
    <row r="100" spans="2:68">
      <c r="B100" s="251"/>
      <c r="C100" s="251"/>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c r="AA100" s="251"/>
      <c r="AB100" s="251"/>
      <c r="AC100" s="251"/>
      <c r="AD100" s="251"/>
      <c r="AE100" s="251"/>
      <c r="AF100" s="251"/>
      <c r="AG100" s="251"/>
      <c r="AH100" s="251"/>
      <c r="AI100" s="251"/>
      <c r="AJ100" s="251"/>
      <c r="AK100" s="251"/>
      <c r="AL100" s="251"/>
      <c r="AM100" s="251"/>
      <c r="AN100" s="251"/>
      <c r="AO100" s="251"/>
      <c r="AP100" s="251"/>
      <c r="AQ100" s="251"/>
      <c r="AR100" s="251"/>
      <c r="AS100" s="251"/>
      <c r="AT100" s="251"/>
      <c r="AU100" s="251"/>
      <c r="AV100" s="251"/>
      <c r="AW100" s="251"/>
      <c r="AX100" s="251"/>
      <c r="AY100" s="251"/>
      <c r="AZ100" s="251"/>
      <c r="BA100" s="251"/>
      <c r="BB100" s="9"/>
      <c r="BC100" s="9"/>
      <c r="BD100" s="9"/>
      <c r="BE100" s="9"/>
      <c r="BF100" s="311"/>
      <c r="BI100" s="311"/>
      <c r="BM100" s="8"/>
      <c r="BO100" s="6"/>
      <c r="BP100" s="6"/>
    </row>
    <row r="101" spans="2:68">
      <c r="B101" s="251"/>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c r="AA101" s="251"/>
      <c r="AB101" s="251"/>
      <c r="AC101" s="251"/>
      <c r="AD101" s="251"/>
      <c r="AE101" s="251"/>
      <c r="AF101" s="251"/>
      <c r="AG101" s="251"/>
      <c r="AH101" s="251"/>
      <c r="AI101" s="251"/>
      <c r="AJ101" s="251"/>
      <c r="AK101" s="251"/>
      <c r="AL101" s="251"/>
      <c r="AM101" s="251"/>
      <c r="AN101" s="251"/>
      <c r="AO101" s="251"/>
      <c r="AP101" s="251"/>
      <c r="AQ101" s="251"/>
      <c r="AR101" s="251"/>
      <c r="AS101" s="251"/>
      <c r="AT101" s="251"/>
      <c r="AU101" s="251"/>
      <c r="AV101" s="251"/>
      <c r="AW101" s="251"/>
      <c r="AX101" s="251"/>
      <c r="AY101" s="251"/>
      <c r="AZ101" s="251"/>
      <c r="BA101" s="251"/>
      <c r="BB101" s="9"/>
      <c r="BC101" s="9"/>
      <c r="BD101" s="9"/>
      <c r="BE101" s="9"/>
      <c r="BM101" s="8"/>
      <c r="BO101" s="6"/>
      <c r="BP101" s="6"/>
    </row>
    <row r="102" spans="2:68">
      <c r="B102" s="251"/>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c r="AA102" s="251"/>
      <c r="AB102" s="251"/>
      <c r="AC102" s="251"/>
      <c r="AD102" s="251"/>
      <c r="AE102" s="251"/>
      <c r="AF102" s="251"/>
      <c r="AG102" s="251"/>
      <c r="AH102" s="251"/>
      <c r="AI102" s="251"/>
      <c r="AJ102" s="251"/>
      <c r="AK102" s="251"/>
      <c r="AL102" s="251"/>
      <c r="AM102" s="251"/>
      <c r="AN102" s="251"/>
      <c r="AO102" s="251"/>
      <c r="AP102" s="251"/>
      <c r="AQ102" s="251"/>
      <c r="AR102" s="251"/>
      <c r="AS102" s="251"/>
      <c r="AT102" s="251"/>
      <c r="AU102" s="251"/>
      <c r="AV102" s="251"/>
      <c r="AW102" s="251"/>
      <c r="AX102" s="251"/>
      <c r="AY102" s="251"/>
      <c r="AZ102" s="251"/>
      <c r="BA102" s="251"/>
      <c r="BB102" s="9"/>
      <c r="BC102" s="9"/>
      <c r="BD102" s="9"/>
      <c r="BE102" s="9"/>
      <c r="BM102" s="8"/>
      <c r="BO102" s="6"/>
      <c r="BP102" s="6"/>
    </row>
    <row r="103" spans="2:68">
      <c r="B103" s="251"/>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c r="AA103" s="251"/>
      <c r="AB103" s="251"/>
      <c r="AC103" s="251"/>
      <c r="AD103" s="251"/>
      <c r="AE103" s="251"/>
      <c r="AF103" s="251"/>
      <c r="AG103" s="251"/>
      <c r="AH103" s="251"/>
      <c r="AI103" s="251"/>
      <c r="AJ103" s="251"/>
      <c r="AK103" s="251"/>
      <c r="AL103" s="251"/>
      <c r="AM103" s="251"/>
      <c r="AN103" s="251"/>
      <c r="AO103" s="251"/>
      <c r="AP103" s="251"/>
      <c r="AQ103" s="251"/>
      <c r="AR103" s="251"/>
      <c r="AS103" s="251"/>
      <c r="AT103" s="251"/>
      <c r="AU103" s="251"/>
      <c r="AV103" s="251"/>
      <c r="AW103" s="251"/>
      <c r="AX103" s="251"/>
      <c r="AY103" s="251"/>
      <c r="AZ103" s="251"/>
      <c r="BA103" s="251"/>
      <c r="BB103" s="9"/>
      <c r="BC103" s="9"/>
      <c r="BD103" s="9"/>
      <c r="BE103" s="9"/>
      <c r="BM103" s="8"/>
      <c r="BO103" s="6"/>
      <c r="BP103" s="6"/>
    </row>
    <row r="104" spans="2:68">
      <c r="B104" s="251"/>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c r="AA104" s="251"/>
      <c r="AB104" s="251"/>
      <c r="AC104" s="251"/>
      <c r="AD104" s="251"/>
      <c r="AE104" s="251"/>
      <c r="AF104" s="251"/>
      <c r="AG104" s="251"/>
      <c r="AH104" s="251"/>
      <c r="AI104" s="251"/>
      <c r="AJ104" s="251"/>
      <c r="AK104" s="251"/>
      <c r="AL104" s="251"/>
      <c r="AM104" s="251"/>
      <c r="AN104" s="251"/>
      <c r="AO104" s="251"/>
      <c r="AP104" s="251"/>
      <c r="AQ104" s="251"/>
      <c r="AR104" s="251"/>
      <c r="AS104" s="251"/>
      <c r="AT104" s="251"/>
      <c r="AU104" s="251"/>
      <c r="AV104" s="251"/>
      <c r="AW104" s="251"/>
      <c r="AX104" s="251"/>
      <c r="AY104" s="251"/>
      <c r="AZ104" s="251"/>
      <c r="BA104" s="251"/>
      <c r="BB104" s="9"/>
      <c r="BC104" s="9"/>
      <c r="BD104" s="9"/>
      <c r="BE104" s="9"/>
      <c r="BM104" s="8"/>
      <c r="BO104" s="6"/>
      <c r="BP104" s="6"/>
    </row>
    <row r="105" spans="2:68">
      <c r="B105" s="251"/>
      <c r="C105" s="251"/>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c r="AA105" s="251"/>
      <c r="AB105" s="251"/>
      <c r="AC105" s="251"/>
      <c r="AD105" s="251"/>
      <c r="AE105" s="251"/>
      <c r="AF105" s="251"/>
      <c r="AG105" s="251"/>
      <c r="AH105" s="251"/>
      <c r="AI105" s="251"/>
      <c r="AJ105" s="251"/>
      <c r="AK105" s="251"/>
      <c r="AL105" s="251"/>
      <c r="AM105" s="251"/>
      <c r="AN105" s="251"/>
      <c r="AO105" s="251"/>
      <c r="AP105" s="251"/>
      <c r="AQ105" s="251"/>
      <c r="AR105" s="251"/>
      <c r="AS105" s="251"/>
      <c r="AT105" s="251"/>
      <c r="AU105" s="251"/>
      <c r="AV105" s="251"/>
      <c r="AW105" s="251"/>
      <c r="AX105" s="251"/>
      <c r="AY105" s="251"/>
      <c r="AZ105" s="251"/>
      <c r="BA105" s="251"/>
      <c r="BB105" s="9"/>
      <c r="BC105" s="9"/>
      <c r="BD105" s="9"/>
      <c r="BE105" s="9"/>
      <c r="BM105" s="8"/>
      <c r="BO105" s="6"/>
      <c r="BP105" s="6"/>
    </row>
    <row r="106" spans="2:68">
      <c r="B106" s="251"/>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c r="AA106" s="251"/>
      <c r="AB106" s="251"/>
      <c r="AC106" s="251"/>
      <c r="AD106" s="251"/>
      <c r="AE106" s="251"/>
      <c r="AF106" s="251"/>
      <c r="AG106" s="251"/>
      <c r="AH106" s="251"/>
      <c r="AI106" s="251"/>
      <c r="AJ106" s="251"/>
      <c r="AK106" s="251"/>
      <c r="AL106" s="251"/>
      <c r="AM106" s="251"/>
      <c r="AN106" s="251"/>
      <c r="AO106" s="251"/>
      <c r="AP106" s="251"/>
      <c r="AQ106" s="251"/>
      <c r="AR106" s="251"/>
      <c r="AS106" s="251"/>
      <c r="AT106" s="251"/>
      <c r="AU106" s="251"/>
      <c r="AV106" s="251"/>
      <c r="AW106" s="251"/>
      <c r="AX106" s="251"/>
      <c r="AY106" s="251"/>
      <c r="AZ106" s="251"/>
      <c r="BA106" s="251"/>
      <c r="BB106" s="319"/>
      <c r="BC106" s="9"/>
      <c r="BD106" s="9"/>
      <c r="BE106" s="9"/>
      <c r="BM106" s="8"/>
      <c r="BO106" s="6"/>
      <c r="BP106" s="6"/>
    </row>
    <row r="107" spans="2:68">
      <c r="B107" s="251"/>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c r="AA107" s="251"/>
      <c r="AB107" s="251"/>
      <c r="AC107" s="251"/>
      <c r="AD107" s="251"/>
      <c r="AE107" s="251"/>
      <c r="AF107" s="251"/>
      <c r="AG107" s="251"/>
      <c r="AH107" s="251"/>
      <c r="AI107" s="251"/>
      <c r="AJ107" s="251"/>
      <c r="AK107" s="251"/>
      <c r="AL107" s="251"/>
      <c r="AM107" s="251"/>
      <c r="AN107" s="251"/>
      <c r="AO107" s="251"/>
      <c r="AP107" s="251"/>
      <c r="AQ107" s="251"/>
      <c r="AR107" s="251"/>
      <c r="AS107" s="251"/>
      <c r="AT107" s="251"/>
      <c r="AU107" s="251"/>
      <c r="AV107" s="251"/>
      <c r="AW107" s="251"/>
      <c r="AX107" s="251"/>
      <c r="AY107" s="251"/>
      <c r="AZ107" s="251"/>
      <c r="BA107" s="251"/>
      <c r="BB107" s="9"/>
      <c r="BC107" s="9"/>
      <c r="BD107" s="9"/>
      <c r="BE107" s="9"/>
      <c r="BM107" s="8"/>
      <c r="BO107" s="6"/>
      <c r="BP107" s="6"/>
    </row>
    <row r="108" spans="2:68">
      <c r="B108" s="251"/>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c r="AA108" s="251"/>
      <c r="AB108" s="251"/>
      <c r="AC108" s="251"/>
      <c r="AD108" s="251"/>
      <c r="AE108" s="251"/>
      <c r="AF108" s="251"/>
      <c r="AG108" s="251"/>
      <c r="AH108" s="251"/>
      <c r="AI108" s="251"/>
      <c r="AJ108" s="251"/>
      <c r="AK108" s="251"/>
      <c r="AL108" s="251"/>
      <c r="AM108" s="251"/>
      <c r="AN108" s="251"/>
      <c r="AO108" s="251"/>
      <c r="AP108" s="251"/>
      <c r="AQ108" s="251"/>
      <c r="AR108" s="251"/>
      <c r="AS108" s="251"/>
      <c r="AT108" s="251"/>
      <c r="AU108" s="251"/>
      <c r="AV108" s="251"/>
      <c r="AW108" s="251"/>
      <c r="AX108" s="251"/>
      <c r="AY108" s="251"/>
      <c r="AZ108" s="251"/>
      <c r="BA108" s="251"/>
      <c r="BB108" s="9"/>
      <c r="BC108" s="9"/>
      <c r="BD108" s="9"/>
      <c r="BE108" s="9"/>
      <c r="BM108" s="8"/>
      <c r="BO108" s="6"/>
      <c r="BP108" s="6"/>
    </row>
    <row r="109" spans="2:68">
      <c r="B109" s="251"/>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c r="AA109" s="251"/>
      <c r="AB109" s="251"/>
      <c r="AC109" s="251"/>
      <c r="AD109" s="251"/>
      <c r="AE109" s="251"/>
      <c r="AF109" s="251"/>
      <c r="AG109" s="251"/>
      <c r="AH109" s="251"/>
      <c r="AI109" s="251"/>
      <c r="AJ109" s="251"/>
      <c r="AK109" s="251"/>
      <c r="AL109" s="251"/>
      <c r="AM109" s="251"/>
      <c r="AN109" s="251"/>
      <c r="AO109" s="251"/>
      <c r="AP109" s="251"/>
      <c r="AQ109" s="251"/>
      <c r="AR109" s="251"/>
      <c r="AS109" s="251"/>
      <c r="AT109" s="251"/>
      <c r="AU109" s="251"/>
      <c r="AV109" s="251"/>
      <c r="AW109" s="251"/>
      <c r="AX109" s="251"/>
      <c r="AY109" s="251"/>
      <c r="AZ109" s="251"/>
      <c r="BA109" s="251"/>
      <c r="BB109" s="9"/>
      <c r="BC109" s="9"/>
      <c r="BD109" s="9"/>
      <c r="BE109" s="9"/>
      <c r="BM109" s="8"/>
      <c r="BO109" s="6"/>
      <c r="BP109" s="6"/>
    </row>
    <row r="110" spans="2:68">
      <c r="B110" s="251"/>
      <c r="C110" s="251"/>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c r="AA110" s="251"/>
      <c r="AB110" s="251"/>
      <c r="AC110" s="251"/>
      <c r="AD110" s="251"/>
      <c r="AE110" s="251"/>
      <c r="AF110" s="251"/>
      <c r="AG110" s="251"/>
      <c r="AH110" s="251"/>
      <c r="AI110" s="251"/>
      <c r="AJ110" s="251"/>
      <c r="AK110" s="251"/>
      <c r="AL110" s="251"/>
      <c r="AM110" s="251"/>
      <c r="AN110" s="251"/>
      <c r="AO110" s="251"/>
      <c r="AP110" s="251"/>
      <c r="AQ110" s="251"/>
      <c r="AR110" s="251"/>
      <c r="AS110" s="251"/>
      <c r="AT110" s="251"/>
      <c r="AU110" s="251"/>
      <c r="AV110" s="251"/>
      <c r="AW110" s="251"/>
      <c r="AX110" s="251"/>
      <c r="AY110" s="251"/>
      <c r="AZ110" s="251"/>
      <c r="BA110" s="251"/>
      <c r="BB110" s="9"/>
      <c r="BC110" s="9"/>
      <c r="BD110" s="9"/>
      <c r="BE110" s="9"/>
      <c r="BM110" s="8"/>
      <c r="BO110" s="6"/>
      <c r="BP110" s="6"/>
    </row>
    <row r="111" spans="2:68">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c r="AA111" s="251"/>
      <c r="AB111" s="251"/>
      <c r="AC111" s="251"/>
      <c r="AD111" s="251"/>
      <c r="AE111" s="251"/>
      <c r="AF111" s="251"/>
      <c r="AG111" s="251"/>
      <c r="AH111" s="251"/>
      <c r="AI111" s="251"/>
      <c r="AJ111" s="251"/>
      <c r="AK111" s="251"/>
      <c r="AL111" s="251"/>
      <c r="AM111" s="251"/>
      <c r="AN111" s="251"/>
      <c r="AO111" s="251"/>
      <c r="AP111" s="251"/>
      <c r="AQ111" s="251"/>
      <c r="AR111" s="251"/>
      <c r="AS111" s="251"/>
      <c r="AT111" s="251"/>
      <c r="AU111" s="251"/>
      <c r="AV111" s="251"/>
      <c r="AW111" s="251"/>
      <c r="AX111" s="251"/>
      <c r="AY111" s="251"/>
      <c r="AZ111" s="251"/>
      <c r="BA111" s="251"/>
      <c r="BB111" s="9"/>
      <c r="BC111" s="9"/>
      <c r="BD111" s="9"/>
      <c r="BE111" s="9"/>
      <c r="BM111" s="8"/>
      <c r="BO111" s="6"/>
      <c r="BP111" s="6"/>
    </row>
    <row r="112" spans="2:68">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251"/>
      <c r="AH112" s="251"/>
      <c r="AI112" s="251"/>
      <c r="AJ112" s="251"/>
      <c r="AK112" s="251"/>
      <c r="AL112" s="251"/>
      <c r="AM112" s="251"/>
      <c r="AN112" s="251"/>
      <c r="AO112" s="251"/>
      <c r="AP112" s="251"/>
      <c r="AQ112" s="251"/>
      <c r="AR112" s="251"/>
      <c r="AS112" s="251"/>
      <c r="AT112" s="251"/>
      <c r="AU112" s="251"/>
      <c r="AV112" s="251"/>
      <c r="AW112" s="251"/>
      <c r="AX112" s="251"/>
      <c r="AY112" s="251"/>
      <c r="AZ112" s="251"/>
      <c r="BA112" s="251"/>
      <c r="BB112" s="9"/>
      <c r="BC112" s="9"/>
      <c r="BD112" s="9"/>
      <c r="BE112" s="9"/>
      <c r="BM112" s="8"/>
      <c r="BO112" s="6"/>
      <c r="BP112" s="6"/>
    </row>
    <row r="114" spans="1:68">
      <c r="A114" s="1"/>
    </row>
    <row r="115" spans="1:68">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c r="AA115" s="251"/>
      <c r="AB115" s="251"/>
      <c r="AC115" s="251"/>
      <c r="AD115" s="251"/>
      <c r="AE115" s="251"/>
      <c r="AF115" s="251"/>
      <c r="AG115" s="251"/>
      <c r="AH115" s="251"/>
      <c r="AI115" s="251"/>
      <c r="AJ115" s="251"/>
      <c r="AK115" s="251"/>
      <c r="AL115" s="251"/>
      <c r="AM115" s="251"/>
      <c r="AN115" s="251"/>
      <c r="AO115" s="251"/>
      <c r="AP115" s="251"/>
      <c r="AQ115" s="251"/>
      <c r="AR115" s="251"/>
      <c r="AS115" s="251"/>
      <c r="AT115" s="251"/>
      <c r="AU115" s="251"/>
      <c r="AV115" s="251"/>
      <c r="AW115" s="251"/>
      <c r="AX115" s="251"/>
      <c r="AY115" s="251"/>
      <c r="AZ115" s="251"/>
      <c r="BA115" s="251"/>
      <c r="BB115" s="9"/>
      <c r="BC115" s="9"/>
      <c r="BD115" s="9"/>
      <c r="BE115" s="9"/>
      <c r="BM115" s="8"/>
      <c r="BO115" s="6"/>
      <c r="BP115" s="6"/>
    </row>
    <row r="116" spans="1:68">
      <c r="B116" s="251"/>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9"/>
      <c r="BC116" s="9"/>
      <c r="BD116" s="9"/>
      <c r="BE116" s="9"/>
      <c r="BM116" s="8"/>
      <c r="BO116" s="6"/>
      <c r="BP116" s="6"/>
    </row>
    <row r="117" spans="1:68">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c r="AA117" s="251"/>
      <c r="AB117" s="251"/>
      <c r="AC117" s="251"/>
      <c r="AD117" s="251"/>
      <c r="AE117" s="251"/>
      <c r="AF117" s="251"/>
      <c r="AG117" s="251"/>
      <c r="AH117" s="251"/>
      <c r="AI117" s="251"/>
      <c r="AJ117" s="251"/>
      <c r="AK117" s="251"/>
      <c r="AL117" s="251"/>
      <c r="AM117" s="251"/>
      <c r="AN117" s="251"/>
      <c r="AO117" s="251"/>
      <c r="AP117" s="251"/>
      <c r="AQ117" s="251"/>
      <c r="AR117" s="251"/>
      <c r="AS117" s="251"/>
      <c r="AT117" s="251"/>
      <c r="AU117" s="251"/>
      <c r="AV117" s="251"/>
      <c r="AW117" s="251"/>
      <c r="AX117" s="251"/>
      <c r="AY117" s="251"/>
      <c r="AZ117" s="251"/>
      <c r="BA117" s="251"/>
      <c r="BB117" s="9"/>
      <c r="BC117" s="9"/>
      <c r="BD117" s="9"/>
      <c r="BE117" s="9"/>
      <c r="BM117" s="8"/>
      <c r="BO117" s="6"/>
      <c r="BP117" s="6"/>
    </row>
    <row r="118" spans="1:68">
      <c r="B118" s="251"/>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c r="AA118" s="251"/>
      <c r="AB118" s="251"/>
      <c r="AC118" s="251"/>
      <c r="AD118" s="251"/>
      <c r="AE118" s="251"/>
      <c r="AF118" s="251"/>
      <c r="AG118" s="251"/>
      <c r="AH118" s="251"/>
      <c r="AI118" s="251"/>
      <c r="AJ118" s="251"/>
      <c r="AK118" s="251"/>
      <c r="AL118" s="251"/>
      <c r="AM118" s="251"/>
      <c r="AN118" s="251"/>
      <c r="AO118" s="251"/>
      <c r="AP118" s="251"/>
      <c r="AQ118" s="251"/>
      <c r="AR118" s="251"/>
      <c r="AS118" s="251"/>
      <c r="AT118" s="251"/>
      <c r="AU118" s="251"/>
      <c r="AV118" s="251"/>
      <c r="AW118" s="251"/>
      <c r="AX118" s="251"/>
      <c r="AY118" s="251"/>
      <c r="AZ118" s="251"/>
      <c r="BA118" s="251"/>
      <c r="BB118" s="9"/>
      <c r="BC118" s="9"/>
      <c r="BD118" s="9"/>
      <c r="BE118" s="9"/>
      <c r="BM118" s="8"/>
      <c r="BO118" s="6"/>
      <c r="BP118" s="6"/>
    </row>
    <row r="119" spans="1:68">
      <c r="B119" s="251"/>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c r="AA119" s="251"/>
      <c r="AB119" s="251"/>
      <c r="AC119" s="251"/>
      <c r="AD119" s="251"/>
      <c r="AE119" s="251"/>
      <c r="AF119" s="251"/>
      <c r="AG119" s="251"/>
      <c r="AH119" s="251"/>
      <c r="AI119" s="251"/>
      <c r="AJ119" s="251"/>
      <c r="AK119" s="251"/>
      <c r="AL119" s="251"/>
      <c r="AM119" s="251"/>
      <c r="AN119" s="251"/>
      <c r="AO119" s="251"/>
      <c r="AP119" s="251"/>
      <c r="AQ119" s="251"/>
      <c r="AR119" s="251"/>
      <c r="AS119" s="251"/>
      <c r="AT119" s="251"/>
      <c r="AU119" s="251"/>
      <c r="AV119" s="251"/>
      <c r="AW119" s="251"/>
      <c r="AX119" s="251"/>
      <c r="AY119" s="251"/>
      <c r="AZ119" s="251"/>
      <c r="BA119" s="251"/>
      <c r="BB119" s="9"/>
      <c r="BC119" s="9"/>
      <c r="BD119" s="9"/>
      <c r="BE119" s="9"/>
      <c r="BM119" s="8"/>
      <c r="BO119" s="6"/>
      <c r="BP119" s="6"/>
    </row>
    <row r="120" spans="1:68">
      <c r="B120" s="251"/>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c r="AA120" s="251"/>
      <c r="AB120" s="251"/>
      <c r="AC120" s="251"/>
      <c r="AD120" s="251"/>
      <c r="AE120" s="251"/>
      <c r="AF120" s="251"/>
      <c r="AG120" s="251"/>
      <c r="AH120" s="251"/>
      <c r="AI120" s="251"/>
      <c r="AJ120" s="251"/>
      <c r="AK120" s="251"/>
      <c r="AL120" s="251"/>
      <c r="AM120" s="251"/>
      <c r="AN120" s="251"/>
      <c r="AO120" s="251"/>
      <c r="AP120" s="251"/>
      <c r="AQ120" s="251"/>
      <c r="AR120" s="251"/>
      <c r="AS120" s="251"/>
      <c r="AT120" s="251"/>
      <c r="AU120" s="251"/>
      <c r="AV120" s="251"/>
      <c r="AW120" s="251"/>
      <c r="AX120" s="251"/>
      <c r="AY120" s="251"/>
      <c r="AZ120" s="251"/>
      <c r="BA120" s="251"/>
      <c r="BB120" s="9"/>
      <c r="BC120" s="9"/>
      <c r="BD120" s="9"/>
      <c r="BE120" s="9"/>
      <c r="BM120" s="8"/>
      <c r="BO120" s="6"/>
      <c r="BP120" s="6"/>
    </row>
    <row r="121" spans="1:68">
      <c r="B121" s="251"/>
      <c r="C121" s="251"/>
      <c r="D121" s="251"/>
      <c r="E121" s="251"/>
      <c r="F121" s="251"/>
      <c r="G121" s="251"/>
      <c r="H121" s="251"/>
      <c r="I121" s="251"/>
      <c r="J121" s="251"/>
      <c r="K121" s="251"/>
      <c r="L121" s="251"/>
      <c r="M121" s="251"/>
      <c r="N121" s="251"/>
      <c r="O121" s="251"/>
      <c r="P121" s="251"/>
      <c r="Q121" s="251"/>
      <c r="R121" s="251"/>
      <c r="S121" s="251"/>
      <c r="T121" s="252"/>
      <c r="U121" s="252"/>
      <c r="V121" s="251"/>
      <c r="W121" s="251"/>
      <c r="X121" s="251"/>
      <c r="Y121" s="251"/>
      <c r="Z121" s="251"/>
      <c r="AA121" s="251"/>
      <c r="AB121" s="251"/>
      <c r="AC121" s="251"/>
      <c r="AD121" s="251"/>
      <c r="AE121" s="251"/>
      <c r="AF121" s="251"/>
      <c r="AG121" s="251"/>
      <c r="AH121" s="251"/>
      <c r="AI121" s="251"/>
      <c r="AJ121" s="251"/>
      <c r="AK121" s="251"/>
      <c r="AL121" s="251"/>
      <c r="AM121" s="251"/>
      <c r="AN121" s="251"/>
      <c r="AO121" s="251"/>
      <c r="AP121" s="251"/>
      <c r="AQ121" s="251"/>
      <c r="AR121" s="251"/>
      <c r="AS121" s="251"/>
      <c r="AT121" s="251"/>
      <c r="AU121" s="251"/>
      <c r="AV121" s="251"/>
      <c r="AW121" s="251"/>
      <c r="AX121" s="251"/>
      <c r="AY121" s="251"/>
      <c r="AZ121" s="251"/>
      <c r="BA121" s="251"/>
      <c r="BB121" s="9"/>
      <c r="BC121" s="9"/>
      <c r="BD121" s="9"/>
      <c r="BE121" s="9"/>
      <c r="BM121" s="8"/>
      <c r="BO121" s="6"/>
      <c r="BP121" s="6"/>
    </row>
    <row r="122" spans="1:68">
      <c r="B122" s="251"/>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c r="AA122" s="251"/>
      <c r="AB122" s="251"/>
      <c r="AC122" s="251"/>
      <c r="AD122" s="251"/>
      <c r="AE122" s="251"/>
      <c r="AF122" s="251"/>
      <c r="AG122" s="251"/>
      <c r="AH122" s="251"/>
      <c r="AI122" s="251"/>
      <c r="AJ122" s="251"/>
      <c r="AK122" s="251"/>
      <c r="AL122" s="251"/>
      <c r="AM122" s="251"/>
      <c r="AN122" s="251"/>
      <c r="AO122" s="251"/>
      <c r="AP122" s="251"/>
      <c r="AQ122" s="251"/>
      <c r="AR122" s="251"/>
      <c r="AS122" s="251"/>
      <c r="AT122" s="251"/>
      <c r="AU122" s="251"/>
      <c r="AV122" s="251"/>
      <c r="AW122" s="251"/>
      <c r="AX122" s="251"/>
      <c r="AY122" s="251"/>
      <c r="AZ122" s="251"/>
      <c r="BA122" s="251"/>
      <c r="BB122" s="9"/>
      <c r="BC122" s="9"/>
      <c r="BD122" s="9"/>
      <c r="BE122" s="9"/>
      <c r="BM122" s="8"/>
      <c r="BO122" s="6"/>
      <c r="BP122" s="6"/>
    </row>
    <row r="123" spans="1:68">
      <c r="B123" s="251"/>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c r="AA123" s="251"/>
      <c r="AB123" s="251"/>
      <c r="AC123" s="251"/>
      <c r="AD123" s="251"/>
      <c r="AE123" s="251"/>
      <c r="AF123" s="251"/>
      <c r="AG123" s="251"/>
      <c r="AH123" s="251"/>
      <c r="AI123" s="251"/>
      <c r="AJ123" s="251"/>
      <c r="AK123" s="251"/>
      <c r="AL123" s="251"/>
      <c r="AM123" s="251"/>
      <c r="AN123" s="251"/>
      <c r="AO123" s="251"/>
      <c r="AP123" s="251"/>
      <c r="AQ123" s="251"/>
      <c r="AR123" s="251"/>
      <c r="AS123" s="251"/>
      <c r="AT123" s="251"/>
      <c r="AU123" s="251"/>
      <c r="AV123" s="251"/>
      <c r="AW123" s="251"/>
      <c r="AX123" s="251"/>
      <c r="AY123" s="251"/>
      <c r="AZ123" s="251"/>
      <c r="BA123" s="251"/>
      <c r="BB123" s="9"/>
      <c r="BC123" s="9"/>
      <c r="BD123" s="9"/>
      <c r="BE123" s="9"/>
      <c r="BM123" s="8"/>
      <c r="BO123" s="6"/>
      <c r="BP123" s="6"/>
    </row>
    <row r="124" spans="1:68">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c r="AH124" s="251"/>
      <c r="AI124" s="251"/>
      <c r="AJ124" s="251"/>
      <c r="AK124" s="251"/>
      <c r="AL124" s="251"/>
      <c r="AM124" s="251"/>
      <c r="AN124" s="251"/>
      <c r="AO124" s="251"/>
      <c r="AP124" s="251"/>
      <c r="AQ124" s="251"/>
      <c r="AR124" s="251"/>
      <c r="AS124" s="251"/>
      <c r="AT124" s="251"/>
      <c r="AU124" s="251"/>
      <c r="AV124" s="251"/>
      <c r="AW124" s="251"/>
      <c r="AX124" s="251"/>
      <c r="AY124" s="251"/>
      <c r="AZ124" s="251"/>
      <c r="BA124" s="251"/>
      <c r="BB124" s="9"/>
      <c r="BC124" s="9"/>
      <c r="BD124" s="9"/>
      <c r="BE124" s="9"/>
      <c r="BM124" s="8"/>
      <c r="BO124" s="6"/>
      <c r="BP124" s="6"/>
    </row>
    <row r="125" spans="1:68">
      <c r="B125" s="251"/>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c r="AA125" s="251"/>
      <c r="AB125" s="251"/>
      <c r="AC125" s="251"/>
      <c r="AD125" s="251"/>
      <c r="AE125" s="251"/>
      <c r="AF125" s="251"/>
      <c r="AG125" s="251"/>
      <c r="AH125" s="251"/>
      <c r="AI125" s="251"/>
      <c r="AJ125" s="251"/>
      <c r="AK125" s="251"/>
      <c r="AL125" s="251"/>
      <c r="AM125" s="251"/>
      <c r="AN125" s="251"/>
      <c r="AO125" s="251"/>
      <c r="AP125" s="251"/>
      <c r="AQ125" s="251"/>
      <c r="AR125" s="251"/>
      <c r="AS125" s="251"/>
      <c r="AT125" s="251"/>
      <c r="AU125" s="251"/>
      <c r="AV125" s="251"/>
      <c r="AW125" s="251"/>
      <c r="AX125" s="251"/>
      <c r="AY125" s="251"/>
      <c r="AZ125" s="251"/>
      <c r="BA125" s="251"/>
      <c r="BB125" s="9"/>
      <c r="BC125" s="9"/>
      <c r="BD125" s="9"/>
      <c r="BE125" s="9"/>
      <c r="BM125" s="8"/>
      <c r="BO125" s="6"/>
      <c r="BP125" s="6"/>
    </row>
    <row r="126" spans="1:68">
      <c r="B126" s="251"/>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c r="AA126" s="251"/>
      <c r="AB126" s="251"/>
      <c r="AC126" s="251"/>
      <c r="AD126" s="251"/>
      <c r="AE126" s="251"/>
      <c r="AF126" s="251"/>
      <c r="AG126" s="251"/>
      <c r="AH126" s="251"/>
      <c r="AI126" s="251"/>
      <c r="AJ126" s="251"/>
      <c r="AK126" s="251"/>
      <c r="AL126" s="251"/>
      <c r="AM126" s="251"/>
      <c r="AN126" s="251"/>
      <c r="AO126" s="251"/>
      <c r="AP126" s="251"/>
      <c r="AQ126" s="251"/>
      <c r="AR126" s="251"/>
      <c r="AS126" s="251"/>
      <c r="AT126" s="251"/>
      <c r="AU126" s="251"/>
      <c r="AV126" s="251"/>
      <c r="AW126" s="251"/>
      <c r="AX126" s="251"/>
      <c r="AY126" s="251"/>
      <c r="AZ126" s="251"/>
      <c r="BA126" s="251"/>
      <c r="BB126" s="9"/>
      <c r="BC126" s="9"/>
      <c r="BD126" s="9"/>
      <c r="BE126" s="9"/>
      <c r="BM126" s="8"/>
      <c r="BO126" s="6"/>
      <c r="BP126" s="6"/>
    </row>
    <row r="127" spans="1:68">
      <c r="B127" s="251"/>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c r="AA127" s="251"/>
      <c r="AB127" s="251"/>
      <c r="AC127" s="251"/>
      <c r="AD127" s="251"/>
      <c r="AE127" s="251"/>
      <c r="AF127" s="251"/>
      <c r="AG127" s="251"/>
      <c r="AH127" s="251"/>
      <c r="AI127" s="251"/>
      <c r="AJ127" s="251"/>
      <c r="AK127" s="251"/>
      <c r="AL127" s="251"/>
      <c r="AM127" s="251"/>
      <c r="AN127" s="251"/>
      <c r="AO127" s="251"/>
      <c r="AP127" s="251"/>
      <c r="AQ127" s="251"/>
      <c r="AR127" s="251"/>
      <c r="AS127" s="251"/>
      <c r="AT127" s="251"/>
      <c r="AU127" s="251"/>
      <c r="AV127" s="251"/>
      <c r="AW127" s="251"/>
      <c r="AX127" s="251"/>
      <c r="AY127" s="251"/>
      <c r="AZ127" s="251"/>
      <c r="BA127" s="251"/>
      <c r="BB127" s="9"/>
      <c r="BC127" s="9"/>
      <c r="BD127" s="9"/>
      <c r="BE127" s="9"/>
      <c r="BM127" s="8"/>
      <c r="BO127" s="6"/>
      <c r="BP127" s="6"/>
    </row>
    <row r="128" spans="1:68">
      <c r="B128" s="254"/>
      <c r="C128" s="254"/>
      <c r="D128" s="254"/>
      <c r="E128" s="254"/>
      <c r="F128" s="254"/>
      <c r="G128" s="254"/>
      <c r="H128" s="254"/>
      <c r="I128" s="254"/>
      <c r="J128" s="254"/>
      <c r="K128" s="254"/>
      <c r="L128" s="251"/>
      <c r="M128" s="251"/>
      <c r="N128" s="251"/>
      <c r="O128" s="251"/>
      <c r="P128" s="251"/>
      <c r="Q128" s="251"/>
      <c r="R128" s="251"/>
      <c r="S128" s="251"/>
      <c r="T128" s="251"/>
      <c r="U128" s="251"/>
      <c r="V128" s="251"/>
      <c r="W128" s="251"/>
      <c r="X128" s="251"/>
      <c r="Y128" s="251"/>
      <c r="Z128" s="252"/>
      <c r="AA128" s="251"/>
      <c r="AB128" s="251"/>
      <c r="AC128" s="251"/>
      <c r="AD128" s="251"/>
      <c r="AE128" s="251"/>
      <c r="AF128" s="251"/>
      <c r="AG128" s="251"/>
      <c r="AH128" s="251"/>
      <c r="AI128" s="251"/>
      <c r="AJ128" s="251"/>
      <c r="AK128" s="251"/>
      <c r="AL128" s="251"/>
      <c r="AM128" s="251"/>
      <c r="AN128" s="251"/>
      <c r="AO128" s="251"/>
      <c r="AP128" s="251"/>
      <c r="AQ128" s="251"/>
      <c r="AR128" s="251"/>
      <c r="AS128" s="251"/>
      <c r="AT128" s="251"/>
      <c r="AU128" s="251"/>
      <c r="AV128" s="251"/>
      <c r="AW128" s="251"/>
      <c r="AX128" s="251"/>
      <c r="AY128" s="251"/>
      <c r="AZ128" s="251"/>
      <c r="BA128" s="251"/>
      <c r="BB128" s="9"/>
      <c r="BC128" s="9"/>
      <c r="BD128" s="9"/>
      <c r="BE128" s="9"/>
      <c r="BM128" s="8"/>
      <c r="BO128" s="6"/>
      <c r="BP128" s="6"/>
    </row>
    <row r="129" spans="1:68">
      <c r="B129" s="254"/>
      <c r="C129" s="254"/>
      <c r="D129" s="254"/>
      <c r="E129" s="254"/>
      <c r="F129" s="254"/>
      <c r="G129" s="254"/>
      <c r="H129" s="254"/>
      <c r="I129" s="254"/>
      <c r="J129" s="254"/>
      <c r="K129" s="254"/>
      <c r="L129" s="251"/>
      <c r="M129" s="251"/>
      <c r="N129" s="251"/>
      <c r="O129" s="251"/>
      <c r="P129" s="251"/>
      <c r="Q129" s="251"/>
      <c r="R129" s="251"/>
      <c r="S129" s="251"/>
      <c r="T129" s="251"/>
      <c r="U129" s="251"/>
      <c r="V129" s="251"/>
      <c r="W129" s="251"/>
      <c r="X129" s="251"/>
      <c r="Y129" s="251"/>
      <c r="Z129" s="252"/>
      <c r="AA129" s="251"/>
      <c r="AB129" s="251"/>
      <c r="AC129" s="251"/>
      <c r="AD129" s="251"/>
      <c r="AE129" s="251"/>
      <c r="AF129" s="251"/>
      <c r="AG129" s="251"/>
      <c r="AH129" s="251"/>
      <c r="AI129" s="251"/>
      <c r="AJ129" s="251"/>
      <c r="AK129" s="251"/>
      <c r="AL129" s="251"/>
      <c r="AM129" s="251"/>
      <c r="AN129" s="251"/>
      <c r="AO129" s="251"/>
      <c r="AP129" s="251"/>
      <c r="AQ129" s="251"/>
      <c r="AR129" s="251"/>
      <c r="AS129" s="251"/>
      <c r="AT129" s="251"/>
      <c r="AU129" s="251"/>
      <c r="AV129" s="251"/>
      <c r="AW129" s="251"/>
      <c r="AX129" s="251"/>
      <c r="AY129" s="251"/>
      <c r="AZ129" s="251"/>
      <c r="BA129" s="251"/>
      <c r="BB129" s="9"/>
      <c r="BC129" s="9"/>
      <c r="BD129" s="9"/>
      <c r="BE129" s="9"/>
      <c r="BM129" s="8"/>
      <c r="BO129" s="6"/>
      <c r="BP129" s="6"/>
    </row>
    <row r="130" spans="1:68">
      <c r="B130" s="251"/>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c r="AA130" s="251"/>
      <c r="AB130" s="251"/>
      <c r="AC130" s="251"/>
      <c r="AD130" s="251"/>
      <c r="AE130" s="251"/>
      <c r="AF130" s="251"/>
      <c r="AG130" s="251"/>
      <c r="AH130" s="251"/>
      <c r="AI130" s="251"/>
      <c r="AJ130" s="251"/>
      <c r="AK130" s="251"/>
      <c r="AL130" s="251"/>
      <c r="AM130" s="251"/>
      <c r="AN130" s="251"/>
      <c r="AO130" s="251"/>
      <c r="AP130" s="251"/>
      <c r="AQ130" s="251"/>
      <c r="AR130" s="251"/>
      <c r="AS130" s="251"/>
      <c r="AT130" s="251"/>
      <c r="AU130" s="251"/>
      <c r="AV130" s="251"/>
      <c r="AW130" s="251"/>
      <c r="AX130" s="251"/>
      <c r="AY130" s="251"/>
      <c r="AZ130" s="251"/>
      <c r="BA130" s="251"/>
      <c r="BB130" s="9"/>
      <c r="BC130" s="9"/>
      <c r="BD130" s="9"/>
      <c r="BE130" s="9"/>
      <c r="BM130" s="8"/>
      <c r="BO130" s="6"/>
      <c r="BP130" s="6"/>
    </row>
    <row r="133" spans="1:68">
      <c r="A133" s="1"/>
    </row>
    <row r="134" spans="1:68">
      <c r="B134" s="251"/>
      <c r="C134" s="251"/>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251"/>
      <c r="AV134" s="251"/>
      <c r="AW134" s="251"/>
      <c r="AX134" s="251"/>
      <c r="AY134" s="251"/>
      <c r="AZ134" s="251"/>
      <c r="BA134" s="251"/>
      <c r="BB134" s="9"/>
      <c r="BC134" s="9"/>
      <c r="BD134" s="9"/>
      <c r="BE134" s="9"/>
      <c r="BM134" s="8"/>
      <c r="BO134" s="6"/>
      <c r="BP134" s="6"/>
    </row>
    <row r="135" spans="1:68">
      <c r="B135" s="251"/>
      <c r="C135" s="251"/>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c r="AA135" s="251"/>
      <c r="AB135" s="251"/>
      <c r="AC135" s="251"/>
      <c r="AD135" s="251"/>
      <c r="AE135" s="251"/>
      <c r="AF135" s="251"/>
      <c r="AG135" s="251"/>
      <c r="AH135" s="251"/>
      <c r="AI135" s="251"/>
      <c r="AJ135" s="251"/>
      <c r="AK135" s="251"/>
      <c r="AL135" s="251"/>
      <c r="AM135" s="251"/>
      <c r="AN135" s="251"/>
      <c r="AO135" s="251"/>
      <c r="AP135" s="251"/>
      <c r="AQ135" s="251"/>
      <c r="AR135" s="251"/>
      <c r="AS135" s="251"/>
      <c r="AT135" s="251"/>
      <c r="AU135" s="251"/>
      <c r="AV135" s="251"/>
      <c r="AW135" s="251"/>
      <c r="AX135" s="251"/>
      <c r="AY135" s="251"/>
      <c r="AZ135" s="251"/>
      <c r="BA135" s="251"/>
      <c r="BB135" s="9"/>
      <c r="BC135" s="9"/>
      <c r="BD135" s="9"/>
      <c r="BE135" s="9"/>
      <c r="BM135" s="8"/>
      <c r="BO135" s="6"/>
      <c r="BP135" s="6"/>
    </row>
    <row r="136" spans="1:68">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2"/>
      <c r="AA136" s="251"/>
      <c r="AB136" s="251"/>
      <c r="AC136" s="251"/>
      <c r="AD136" s="251"/>
      <c r="AE136" s="251"/>
      <c r="AF136" s="251"/>
      <c r="AG136" s="251"/>
      <c r="AH136" s="251"/>
      <c r="AI136" s="251"/>
      <c r="AJ136" s="251"/>
      <c r="AK136" s="251"/>
      <c r="AL136" s="251"/>
      <c r="AM136" s="251"/>
      <c r="AN136" s="251"/>
      <c r="AO136" s="251"/>
      <c r="AP136" s="251"/>
      <c r="AQ136" s="251"/>
      <c r="AR136" s="251"/>
      <c r="AS136" s="251"/>
      <c r="AT136" s="251"/>
      <c r="AU136" s="251"/>
      <c r="AV136" s="251"/>
      <c r="AW136" s="251"/>
      <c r="AX136" s="251"/>
      <c r="AY136" s="251"/>
      <c r="AZ136" s="251"/>
      <c r="BA136" s="251"/>
      <c r="BB136" s="9"/>
      <c r="BC136" s="9"/>
      <c r="BD136" s="9"/>
      <c r="BE136" s="9"/>
      <c r="BM136" s="8"/>
      <c r="BO136" s="6"/>
      <c r="BP136" s="6"/>
    </row>
    <row r="137" spans="1:68">
      <c r="B137" s="251"/>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c r="AA137" s="251"/>
      <c r="AB137" s="251"/>
      <c r="AC137" s="251"/>
      <c r="AD137" s="251"/>
      <c r="AE137" s="251"/>
      <c r="AF137" s="251"/>
      <c r="AG137" s="251"/>
      <c r="AH137" s="251"/>
      <c r="AI137" s="251"/>
      <c r="AJ137" s="251"/>
      <c r="AK137" s="251"/>
      <c r="AL137" s="251"/>
      <c r="AM137" s="251"/>
      <c r="AN137" s="251"/>
      <c r="AO137" s="251"/>
      <c r="AP137" s="251"/>
      <c r="AQ137" s="251"/>
      <c r="AR137" s="251"/>
      <c r="AS137" s="251"/>
      <c r="AT137" s="251"/>
      <c r="AU137" s="251"/>
      <c r="AV137" s="251"/>
      <c r="AW137" s="251"/>
      <c r="AX137" s="251"/>
      <c r="AY137" s="251"/>
      <c r="AZ137" s="251"/>
      <c r="BA137" s="251"/>
      <c r="BB137" s="9"/>
      <c r="BC137" s="9"/>
      <c r="BD137" s="9"/>
      <c r="BE137" s="9"/>
      <c r="BM137" s="8"/>
      <c r="BO137" s="6"/>
      <c r="BP137" s="6"/>
    </row>
    <row r="138" spans="1:68">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4"/>
      <c r="AA138" s="251"/>
      <c r="AB138" s="251"/>
      <c r="AC138" s="251"/>
      <c r="AD138" s="251"/>
      <c r="AE138" s="251"/>
      <c r="AF138" s="251"/>
      <c r="AG138" s="251"/>
      <c r="AH138" s="251"/>
      <c r="AI138" s="251"/>
      <c r="AJ138" s="251"/>
      <c r="AK138" s="251"/>
      <c r="AL138" s="251"/>
      <c r="AM138" s="251"/>
      <c r="AN138" s="251"/>
      <c r="AO138" s="251"/>
      <c r="AP138" s="251"/>
      <c r="AQ138" s="251"/>
      <c r="AR138" s="251"/>
      <c r="AS138" s="251"/>
      <c r="AT138" s="251"/>
      <c r="AU138" s="251"/>
      <c r="AV138" s="251"/>
      <c r="AW138" s="251"/>
      <c r="AX138" s="251"/>
      <c r="AY138" s="251"/>
      <c r="AZ138" s="251"/>
      <c r="BA138" s="251"/>
      <c r="BB138" s="9"/>
      <c r="BC138" s="9"/>
      <c r="BD138" s="9"/>
      <c r="BE138" s="9"/>
      <c r="BM138" s="8"/>
      <c r="BO138" s="6"/>
      <c r="BP138" s="6"/>
    </row>
    <row r="139" spans="1:68">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4"/>
      <c r="AA139" s="251"/>
      <c r="AB139" s="251"/>
      <c r="AC139" s="251"/>
      <c r="AD139" s="251"/>
      <c r="AE139" s="251"/>
      <c r="AF139" s="251"/>
      <c r="AG139" s="251"/>
      <c r="AH139" s="251"/>
      <c r="AI139" s="251"/>
      <c r="AJ139" s="251"/>
      <c r="AK139" s="251"/>
      <c r="AL139" s="251"/>
      <c r="AM139" s="251"/>
      <c r="AN139" s="251"/>
      <c r="AO139" s="251"/>
      <c r="AP139" s="251"/>
      <c r="AQ139" s="251"/>
      <c r="AR139" s="251"/>
      <c r="AS139" s="251"/>
      <c r="AT139" s="251"/>
      <c r="AU139" s="251"/>
      <c r="AV139" s="251"/>
      <c r="AW139" s="251"/>
      <c r="AX139" s="251"/>
      <c r="AY139" s="251"/>
      <c r="AZ139" s="251"/>
      <c r="BA139" s="251"/>
      <c r="BB139" s="9"/>
      <c r="BC139" s="9"/>
      <c r="BD139" s="9"/>
      <c r="BE139" s="9"/>
      <c r="BM139" s="8"/>
      <c r="BO139" s="6"/>
      <c r="BP139" s="6"/>
    </row>
    <row r="140" spans="1:68">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4"/>
      <c r="AA140" s="251"/>
      <c r="AB140" s="251"/>
      <c r="AC140" s="251"/>
      <c r="AD140" s="251"/>
      <c r="AE140" s="251"/>
      <c r="AF140" s="251"/>
      <c r="AG140" s="251"/>
      <c r="AH140" s="251"/>
      <c r="AI140" s="251"/>
      <c r="AJ140" s="251"/>
      <c r="AK140" s="251"/>
      <c r="AL140" s="251"/>
      <c r="AM140" s="251"/>
      <c r="AN140" s="251"/>
      <c r="AO140" s="251"/>
      <c r="AP140" s="251"/>
      <c r="AQ140" s="251"/>
      <c r="AR140" s="251"/>
      <c r="AS140" s="251"/>
      <c r="AT140" s="251"/>
      <c r="AU140" s="251"/>
      <c r="AV140" s="251"/>
      <c r="AW140" s="251"/>
      <c r="AX140" s="251"/>
      <c r="AY140" s="251"/>
      <c r="AZ140" s="251"/>
      <c r="BA140" s="251"/>
      <c r="BB140" s="9"/>
      <c r="BC140" s="9"/>
      <c r="BD140" s="9"/>
      <c r="BE140" s="9"/>
      <c r="BM140" s="8"/>
      <c r="BO140" s="6"/>
      <c r="BP140" s="6"/>
    </row>
    <row r="141" spans="1:68">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4"/>
      <c r="AA141" s="251"/>
      <c r="AB141" s="251"/>
      <c r="AC141" s="251"/>
      <c r="AD141" s="251"/>
      <c r="AE141" s="251"/>
      <c r="AF141" s="251"/>
      <c r="AG141" s="251"/>
      <c r="AH141" s="251"/>
      <c r="AI141" s="251"/>
      <c r="AJ141" s="251"/>
      <c r="AK141" s="251"/>
      <c r="AL141" s="251"/>
      <c r="AM141" s="251"/>
      <c r="AN141" s="251"/>
      <c r="AO141" s="251"/>
      <c r="AP141" s="251"/>
      <c r="AQ141" s="251"/>
      <c r="AR141" s="251"/>
      <c r="AS141" s="251"/>
      <c r="AT141" s="251"/>
      <c r="AU141" s="251"/>
      <c r="AV141" s="251"/>
      <c r="AW141" s="251"/>
      <c r="AX141" s="251"/>
      <c r="AY141" s="251"/>
      <c r="AZ141" s="251"/>
      <c r="BA141" s="251"/>
      <c r="BB141" s="9"/>
      <c r="BC141" s="9"/>
      <c r="BD141" s="9"/>
      <c r="BE141" s="9"/>
      <c r="BM141" s="8"/>
      <c r="BO141" s="6"/>
      <c r="BP141" s="6"/>
    </row>
    <row r="143" spans="1:68">
      <c r="A143" s="1"/>
    </row>
    <row r="144" spans="1:68">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9"/>
      <c r="BC144" s="9"/>
      <c r="BD144" s="9"/>
      <c r="BE144" s="9"/>
      <c r="BO144" s="6"/>
    </row>
    <row r="145" spans="1:67">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9"/>
      <c r="BC145" s="9"/>
      <c r="BD145" s="9"/>
      <c r="BE145" s="9"/>
      <c r="BO145" s="6"/>
    </row>
    <row r="146" spans="1:67">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4"/>
      <c r="AA146" s="254"/>
      <c r="AB146" s="254"/>
      <c r="AC146" s="254"/>
      <c r="AD146" s="254"/>
      <c r="AE146" s="254"/>
      <c r="AF146" s="254"/>
      <c r="AG146" s="254"/>
      <c r="AH146" s="254"/>
      <c r="AI146" s="254"/>
      <c r="AJ146" s="254"/>
      <c r="AK146" s="254"/>
      <c r="AL146" s="254"/>
      <c r="AM146" s="254"/>
      <c r="AN146" s="254"/>
      <c r="AO146" s="254"/>
      <c r="AP146" s="254"/>
      <c r="AQ146" s="254"/>
      <c r="AR146" s="254"/>
      <c r="AS146" s="254"/>
      <c r="AT146" s="254"/>
      <c r="AU146" s="254"/>
      <c r="AV146" s="254"/>
      <c r="AW146" s="254"/>
      <c r="AX146" s="254"/>
      <c r="AY146" s="254"/>
      <c r="AZ146" s="254"/>
      <c r="BA146" s="254"/>
      <c r="BB146" s="9"/>
      <c r="BC146" s="9"/>
      <c r="BD146" s="9"/>
      <c r="BE146" s="9"/>
      <c r="BO146" s="6"/>
    </row>
    <row r="147" spans="1:67">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9"/>
      <c r="BC147" s="9"/>
      <c r="BD147" s="9"/>
      <c r="BE147" s="9"/>
      <c r="BO147" s="6"/>
    </row>
    <row r="148" spans="1:67">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9"/>
      <c r="BC148" s="9"/>
      <c r="BD148" s="9"/>
      <c r="BE148" s="9"/>
      <c r="BO148" s="6"/>
    </row>
    <row r="149" spans="1:67">
      <c r="A149" s="1"/>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4"/>
      <c r="AA149" s="254"/>
      <c r="AB149" s="254"/>
      <c r="AC149" s="254"/>
      <c r="AD149" s="254"/>
      <c r="AE149" s="254"/>
      <c r="AF149" s="254"/>
      <c r="AG149" s="254"/>
      <c r="AH149" s="254"/>
      <c r="AI149" s="254"/>
      <c r="AJ149" s="254"/>
      <c r="AK149" s="254"/>
      <c r="AL149" s="254"/>
      <c r="AM149" s="254"/>
      <c r="AN149" s="254"/>
      <c r="AO149" s="254"/>
      <c r="AP149" s="254"/>
      <c r="AQ149" s="254"/>
      <c r="AR149" s="254"/>
      <c r="AS149" s="254"/>
      <c r="AT149" s="254"/>
      <c r="AU149" s="254"/>
      <c r="AV149" s="254"/>
      <c r="AW149" s="254"/>
      <c r="AX149" s="254"/>
      <c r="AY149" s="254"/>
      <c r="AZ149" s="254"/>
      <c r="BA149" s="254"/>
      <c r="BB149" s="9"/>
      <c r="BC149" s="9"/>
      <c r="BD149" s="9"/>
      <c r="BE149" s="9"/>
      <c r="BO149" s="6"/>
    </row>
    <row r="150" spans="1:67">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c r="AA150" s="254"/>
      <c r="AB150" s="254"/>
      <c r="AC150" s="254"/>
      <c r="AD150" s="254"/>
      <c r="AE150" s="254"/>
      <c r="AF150" s="254"/>
      <c r="AG150" s="254"/>
      <c r="AH150" s="254"/>
      <c r="AI150" s="254"/>
      <c r="AJ150" s="254"/>
      <c r="AK150" s="254"/>
      <c r="AL150" s="254"/>
      <c r="AM150" s="254"/>
      <c r="AN150" s="254"/>
      <c r="AO150" s="254"/>
      <c r="AP150" s="254"/>
      <c r="AQ150" s="254"/>
      <c r="AR150" s="254"/>
      <c r="AS150" s="254"/>
      <c r="AT150" s="254"/>
      <c r="AU150" s="254"/>
      <c r="AV150" s="254"/>
      <c r="AW150" s="254"/>
      <c r="AX150" s="254"/>
      <c r="AY150" s="254"/>
      <c r="AZ150" s="254"/>
      <c r="BA150" s="254"/>
      <c r="BB150" s="9"/>
      <c r="BC150" s="9"/>
      <c r="BD150" s="9"/>
      <c r="BE150" s="9"/>
      <c r="BO150" s="6"/>
    </row>
    <row r="151" spans="1:67">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4"/>
      <c r="AA151" s="254"/>
      <c r="AB151" s="254"/>
      <c r="AC151" s="254"/>
      <c r="AD151" s="254"/>
      <c r="AE151" s="254"/>
      <c r="AF151" s="254"/>
      <c r="AG151" s="254"/>
      <c r="AH151" s="254"/>
      <c r="AI151" s="254"/>
      <c r="AJ151" s="254"/>
      <c r="AK151" s="254"/>
      <c r="AL151" s="254"/>
      <c r="AM151" s="254"/>
      <c r="AN151" s="254"/>
      <c r="AO151" s="254"/>
      <c r="AP151" s="254"/>
      <c r="AQ151" s="254"/>
      <c r="AR151" s="254"/>
      <c r="AS151" s="254"/>
      <c r="AT151" s="254"/>
      <c r="AU151" s="254"/>
      <c r="AV151" s="254"/>
      <c r="AW151" s="254"/>
      <c r="AX151" s="254"/>
      <c r="AY151" s="254"/>
      <c r="AZ151" s="254"/>
      <c r="BA151" s="254"/>
      <c r="BB151" s="9"/>
      <c r="BC151" s="9"/>
      <c r="BD151" s="9"/>
      <c r="BE151" s="9"/>
      <c r="BO151" s="6"/>
    </row>
    <row r="152" spans="1:67">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4"/>
      <c r="AA152" s="254"/>
      <c r="AB152" s="254"/>
      <c r="AC152" s="254"/>
      <c r="AD152" s="254"/>
      <c r="AE152" s="254"/>
      <c r="AF152" s="254"/>
      <c r="AG152" s="254"/>
      <c r="AH152" s="254"/>
      <c r="AI152" s="254"/>
      <c r="AJ152" s="254"/>
      <c r="AK152" s="254"/>
      <c r="AL152" s="254"/>
      <c r="AM152" s="254"/>
      <c r="AN152" s="254"/>
      <c r="AO152" s="254"/>
      <c r="AP152" s="254"/>
      <c r="AQ152" s="254"/>
      <c r="AR152" s="254"/>
      <c r="AS152" s="254"/>
      <c r="AT152" s="254"/>
      <c r="AU152" s="254"/>
      <c r="AV152" s="254"/>
      <c r="AW152" s="254"/>
      <c r="AX152" s="254"/>
      <c r="AY152" s="254"/>
      <c r="AZ152" s="254"/>
      <c r="BA152" s="254"/>
      <c r="BB152" s="9"/>
      <c r="BC152" s="9"/>
      <c r="BD152" s="9"/>
      <c r="BE152" s="9"/>
      <c r="BO152" s="6"/>
    </row>
    <row r="153" spans="1:67">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4"/>
      <c r="AA153" s="254"/>
      <c r="AB153" s="254"/>
      <c r="AC153" s="254"/>
      <c r="AD153" s="254"/>
      <c r="AE153" s="254"/>
      <c r="AF153" s="254"/>
      <c r="AG153" s="254"/>
      <c r="AH153" s="254"/>
      <c r="AI153" s="254"/>
      <c r="AJ153" s="254"/>
      <c r="AK153" s="254"/>
      <c r="AL153" s="254"/>
      <c r="AM153" s="254"/>
      <c r="AN153" s="254"/>
      <c r="AO153" s="254"/>
      <c r="AP153" s="254"/>
      <c r="AQ153" s="254"/>
      <c r="AR153" s="254"/>
      <c r="AS153" s="254"/>
      <c r="AT153" s="254"/>
      <c r="AU153" s="254"/>
      <c r="AV153" s="254"/>
      <c r="AW153" s="254"/>
      <c r="AX153" s="254"/>
      <c r="AY153" s="254"/>
      <c r="AZ153" s="254"/>
      <c r="BA153" s="254"/>
      <c r="BB153" s="9"/>
      <c r="BC153" s="9"/>
      <c r="BD153" s="9"/>
      <c r="BE153" s="9"/>
      <c r="BO153" s="6"/>
    </row>
    <row r="154" spans="1:67">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4"/>
      <c r="AA154" s="254"/>
      <c r="AB154" s="254"/>
      <c r="AC154" s="254"/>
      <c r="AD154" s="254"/>
      <c r="AE154" s="254"/>
      <c r="AF154" s="254"/>
      <c r="AG154" s="254"/>
      <c r="AH154" s="254"/>
      <c r="AI154" s="254"/>
      <c r="AJ154" s="254"/>
      <c r="AK154" s="254"/>
      <c r="AL154" s="254"/>
      <c r="AM154" s="254"/>
      <c r="AN154" s="254"/>
      <c r="AO154" s="254"/>
      <c r="AP154" s="254"/>
      <c r="AQ154" s="254"/>
      <c r="AR154" s="254"/>
      <c r="AS154" s="254"/>
      <c r="AT154" s="254"/>
      <c r="AU154" s="254"/>
      <c r="AV154" s="254"/>
      <c r="AW154" s="254"/>
      <c r="AX154" s="254"/>
      <c r="AY154" s="254"/>
      <c r="AZ154" s="254"/>
      <c r="BA154" s="254"/>
      <c r="BB154" s="9"/>
      <c r="BC154" s="9"/>
      <c r="BD154" s="9"/>
      <c r="BE154" s="9"/>
      <c r="BO154" s="6"/>
    </row>
    <row r="155" spans="1:67">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4"/>
      <c r="AA155" s="254"/>
      <c r="AB155" s="254"/>
      <c r="AC155" s="254"/>
      <c r="AD155" s="254"/>
      <c r="AE155" s="254"/>
      <c r="AF155" s="254"/>
      <c r="AG155" s="254"/>
      <c r="AH155" s="254"/>
      <c r="AI155" s="254"/>
      <c r="AJ155" s="254"/>
      <c r="AK155" s="254"/>
      <c r="AL155" s="254"/>
      <c r="AM155" s="254"/>
      <c r="AN155" s="254"/>
      <c r="AO155" s="254"/>
      <c r="AP155" s="254"/>
      <c r="AQ155" s="254"/>
      <c r="AR155" s="254"/>
      <c r="AS155" s="254"/>
      <c r="AT155" s="254"/>
      <c r="AU155" s="254"/>
      <c r="AV155" s="254"/>
      <c r="AW155" s="254"/>
      <c r="AX155" s="254"/>
      <c r="AY155" s="254"/>
      <c r="AZ155" s="254"/>
      <c r="BA155" s="254"/>
      <c r="BB155" s="9"/>
      <c r="BC155" s="9"/>
      <c r="BD155" s="9"/>
      <c r="BE155" s="9"/>
      <c r="BO155" s="6"/>
    </row>
    <row r="156" spans="1:67">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4"/>
      <c r="AA156" s="254"/>
      <c r="AB156" s="254"/>
      <c r="AC156" s="254"/>
      <c r="AD156" s="254"/>
      <c r="AE156" s="254"/>
      <c r="AF156" s="254"/>
      <c r="AG156" s="254"/>
      <c r="AH156" s="254"/>
      <c r="AI156" s="254"/>
      <c r="AJ156" s="254"/>
      <c r="AK156" s="254"/>
      <c r="AL156" s="254"/>
      <c r="AM156" s="254"/>
      <c r="AN156" s="254"/>
      <c r="AO156" s="254"/>
      <c r="AP156" s="254"/>
      <c r="AQ156" s="254"/>
      <c r="AR156" s="254"/>
      <c r="AS156" s="254"/>
      <c r="AT156" s="254"/>
      <c r="AU156" s="254"/>
      <c r="AV156" s="254"/>
      <c r="AW156" s="254"/>
      <c r="AX156" s="254"/>
      <c r="AY156" s="254"/>
      <c r="AZ156" s="254"/>
      <c r="BA156" s="254"/>
      <c r="BB156" s="9"/>
      <c r="BC156" s="9"/>
      <c r="BD156" s="9"/>
      <c r="BE156" s="9"/>
      <c r="BO156" s="6"/>
    </row>
    <row r="157" spans="1:67">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4"/>
      <c r="AA157" s="254"/>
      <c r="AB157" s="254"/>
      <c r="AC157" s="254"/>
      <c r="AD157" s="254"/>
      <c r="AE157" s="254"/>
      <c r="AF157" s="254"/>
      <c r="AG157" s="254"/>
      <c r="AH157" s="254"/>
      <c r="AI157" s="254"/>
      <c r="AJ157" s="254"/>
      <c r="AK157" s="254"/>
      <c r="AL157" s="254"/>
      <c r="AM157" s="254"/>
      <c r="AN157" s="254"/>
      <c r="AO157" s="254"/>
      <c r="AP157" s="254"/>
      <c r="AQ157" s="254"/>
      <c r="AR157" s="254"/>
      <c r="AS157" s="254"/>
      <c r="AT157" s="254"/>
      <c r="AU157" s="254"/>
      <c r="AV157" s="254"/>
      <c r="AW157" s="254"/>
      <c r="AX157" s="254"/>
      <c r="AY157" s="254"/>
      <c r="AZ157" s="254"/>
      <c r="BA157" s="254"/>
      <c r="BB157" s="9"/>
      <c r="BC157" s="9"/>
      <c r="BD157" s="9"/>
      <c r="BE157" s="9"/>
      <c r="BO157" s="6"/>
    </row>
    <row r="158" spans="1:67">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9"/>
      <c r="BC158" s="9"/>
      <c r="BD158" s="9"/>
      <c r="BE158" s="9"/>
      <c r="BO158" s="6"/>
    </row>
    <row r="159" spans="1:67">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4"/>
      <c r="AA159" s="254"/>
      <c r="AB159" s="254"/>
      <c r="AC159" s="254"/>
      <c r="AD159" s="254"/>
      <c r="AE159" s="254"/>
      <c r="AF159" s="254"/>
      <c r="AG159" s="254"/>
      <c r="AH159" s="254"/>
      <c r="AI159" s="254"/>
      <c r="AJ159" s="254"/>
      <c r="AK159" s="254"/>
      <c r="AL159" s="254"/>
      <c r="AM159" s="254"/>
      <c r="AN159" s="254"/>
      <c r="AO159" s="254"/>
      <c r="AP159" s="254"/>
      <c r="AQ159" s="254"/>
      <c r="AR159" s="254"/>
      <c r="AS159" s="254"/>
      <c r="AT159" s="254"/>
      <c r="AU159" s="254"/>
      <c r="AV159" s="254"/>
      <c r="AW159" s="254"/>
      <c r="AX159" s="254"/>
      <c r="AY159" s="254"/>
      <c r="AZ159" s="254"/>
      <c r="BA159" s="254"/>
      <c r="BB159" s="9"/>
      <c r="BC159" s="9"/>
      <c r="BD159" s="9"/>
      <c r="BE159" s="9"/>
      <c r="BO159" s="6"/>
    </row>
    <row r="161" spans="1:71">
      <c r="A161" s="1"/>
    </row>
    <row r="162" spans="1:71">
      <c r="A162" s="4"/>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c r="AA162" s="251"/>
      <c r="AB162" s="251"/>
      <c r="AC162" s="251"/>
      <c r="AD162" s="251"/>
      <c r="AE162" s="251"/>
      <c r="AF162" s="251"/>
      <c r="AG162" s="251"/>
      <c r="AH162" s="251"/>
      <c r="AI162" s="251"/>
      <c r="AJ162" s="251"/>
      <c r="AK162" s="251"/>
      <c r="AL162" s="251"/>
      <c r="AM162" s="251"/>
      <c r="AN162" s="251"/>
      <c r="AO162" s="251"/>
      <c r="AP162" s="251"/>
      <c r="AQ162" s="251"/>
      <c r="AR162" s="251"/>
      <c r="AS162" s="251"/>
      <c r="AT162" s="251"/>
      <c r="AU162" s="251"/>
      <c r="AV162" s="251"/>
      <c r="AW162" s="251"/>
      <c r="AX162" s="251"/>
      <c r="AY162" s="251"/>
      <c r="AZ162" s="251"/>
      <c r="BA162" s="251"/>
      <c r="BB162" s="6"/>
      <c r="BC162" s="6"/>
      <c r="BD162" s="6"/>
      <c r="BE162" s="9"/>
      <c r="BO162" s="6">
        <v>375197.44799999997</v>
      </c>
      <c r="BP162" s="6"/>
      <c r="BR162" s="3">
        <v>90</v>
      </c>
      <c r="BS162" s="3" t="e">
        <f>+#REF!*BR162</f>
        <v>#REF!</v>
      </c>
    </row>
    <row r="163" spans="1:71">
      <c r="B163" s="251"/>
      <c r="C163" s="251"/>
      <c r="D163" s="251"/>
      <c r="E163" s="251"/>
      <c r="F163" s="251"/>
      <c r="G163" s="251"/>
      <c r="H163" s="251"/>
      <c r="I163" s="251"/>
      <c r="J163" s="251"/>
      <c r="K163" s="251"/>
      <c r="L163" s="251"/>
      <c r="M163" s="251"/>
      <c r="N163" s="251"/>
      <c r="O163" s="251"/>
      <c r="P163" s="251"/>
      <c r="Q163" s="251"/>
      <c r="R163" s="251"/>
      <c r="S163" s="251"/>
      <c r="T163" s="251"/>
      <c r="U163" s="251"/>
      <c r="V163" s="251"/>
      <c r="W163" s="251"/>
      <c r="X163" s="251"/>
      <c r="Y163" s="251"/>
      <c r="Z163" s="251"/>
      <c r="AA163" s="251"/>
      <c r="AB163" s="251"/>
      <c r="AC163" s="251"/>
      <c r="AD163" s="251"/>
      <c r="AE163" s="251"/>
      <c r="AF163" s="251"/>
      <c r="AG163" s="251"/>
      <c r="AH163" s="251"/>
      <c r="AI163" s="251"/>
      <c r="AJ163" s="251"/>
      <c r="AK163" s="251"/>
      <c r="AL163" s="251"/>
      <c r="AM163" s="251"/>
      <c r="AN163" s="251"/>
      <c r="AO163" s="251"/>
      <c r="AP163" s="251"/>
      <c r="AQ163" s="251"/>
      <c r="AR163" s="251"/>
      <c r="AS163" s="251"/>
      <c r="AT163" s="251"/>
      <c r="AU163" s="251"/>
      <c r="AV163" s="251"/>
      <c r="AW163" s="251"/>
      <c r="AX163" s="251"/>
      <c r="AY163" s="251"/>
      <c r="AZ163" s="251"/>
      <c r="BA163" s="251"/>
      <c r="BB163" s="6"/>
      <c r="BC163" s="6"/>
      <c r="BD163" s="6"/>
      <c r="BE163" s="9"/>
      <c r="BO163" s="10">
        <v>405966.8</v>
      </c>
      <c r="BQ163" s="2"/>
      <c r="BR163" s="3">
        <f>+BR162</f>
        <v>90</v>
      </c>
      <c r="BS163" s="3" t="e">
        <f>+#REF!*BR163</f>
        <v>#REF!</v>
      </c>
    </row>
    <row r="164" spans="1:71">
      <c r="B164" s="251"/>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51"/>
      <c r="AN164" s="251"/>
      <c r="AO164" s="251"/>
      <c r="AP164" s="251"/>
      <c r="AQ164" s="251"/>
      <c r="AR164" s="251"/>
      <c r="AS164" s="251"/>
      <c r="AT164" s="251"/>
      <c r="AU164" s="251"/>
      <c r="AV164" s="251"/>
      <c r="AW164" s="251"/>
      <c r="AX164" s="251"/>
      <c r="AY164" s="251"/>
      <c r="AZ164" s="251"/>
      <c r="BA164" s="251"/>
      <c r="BB164" s="6"/>
      <c r="BC164" s="6"/>
      <c r="BD164" s="6"/>
      <c r="BE164" s="9"/>
      <c r="BO164" s="10">
        <v>422024.06400000001</v>
      </c>
      <c r="BR164" s="3">
        <f t="shared" ref="BR164:BR176" si="7">+BR163</f>
        <v>90</v>
      </c>
      <c r="BS164" s="3" t="e">
        <f>+#REF!*BR164</f>
        <v>#REF!</v>
      </c>
    </row>
    <row r="165" spans="1:71">
      <c r="B165" s="251"/>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c r="AA165" s="251"/>
      <c r="AB165" s="251"/>
      <c r="AC165" s="251"/>
      <c r="AD165" s="251"/>
      <c r="AE165" s="251"/>
      <c r="AF165" s="251"/>
      <c r="AG165" s="251"/>
      <c r="AH165" s="251"/>
      <c r="AI165" s="251"/>
      <c r="AJ165" s="251"/>
      <c r="AK165" s="251"/>
      <c r="AL165" s="251"/>
      <c r="AM165" s="251"/>
      <c r="AN165" s="251"/>
      <c r="AO165" s="251"/>
      <c r="AP165" s="251"/>
      <c r="AQ165" s="251"/>
      <c r="AR165" s="251"/>
      <c r="AS165" s="251"/>
      <c r="AT165" s="251"/>
      <c r="AU165" s="251"/>
      <c r="AV165" s="251"/>
      <c r="AW165" s="251"/>
      <c r="AX165" s="251"/>
      <c r="AY165" s="251"/>
      <c r="AZ165" s="251"/>
      <c r="BA165" s="251"/>
      <c r="BB165" s="6"/>
      <c r="BC165" s="6"/>
      <c r="BD165" s="6"/>
      <c r="BE165" s="9"/>
      <c r="BO165" s="6">
        <v>349552.12</v>
      </c>
      <c r="BQ165" s="2"/>
      <c r="BR165" s="3">
        <f t="shared" si="7"/>
        <v>90</v>
      </c>
      <c r="BS165" s="3" t="e">
        <f>+#REF!*BR165</f>
        <v>#REF!</v>
      </c>
    </row>
    <row r="166" spans="1:71">
      <c r="B166" s="251"/>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1"/>
      <c r="Y166" s="251"/>
      <c r="Z166" s="251"/>
      <c r="AA166" s="251"/>
      <c r="AB166" s="251"/>
      <c r="AC166" s="251"/>
      <c r="AD166" s="251"/>
      <c r="AE166" s="251"/>
      <c r="AF166" s="251"/>
      <c r="AG166" s="251"/>
      <c r="AH166" s="251"/>
      <c r="AI166" s="251"/>
      <c r="AJ166" s="251"/>
      <c r="AK166" s="251"/>
      <c r="AL166" s="251"/>
      <c r="AM166" s="251"/>
      <c r="AN166" s="251"/>
      <c r="AO166" s="251"/>
      <c r="AP166" s="251"/>
      <c r="AQ166" s="251"/>
      <c r="AR166" s="251"/>
      <c r="AS166" s="251"/>
      <c r="AT166" s="251"/>
      <c r="AU166" s="251"/>
      <c r="AV166" s="251"/>
      <c r="AW166" s="251"/>
      <c r="AX166" s="251"/>
      <c r="AY166" s="251"/>
      <c r="AZ166" s="251"/>
      <c r="BA166" s="251"/>
      <c r="BB166" s="6"/>
      <c r="BC166" s="6"/>
      <c r="BD166" s="6"/>
      <c r="BE166" s="9"/>
      <c r="BO166" s="6">
        <v>380005.84</v>
      </c>
      <c r="BQ166" s="2"/>
      <c r="BR166" s="3">
        <f t="shared" si="7"/>
        <v>90</v>
      </c>
      <c r="BS166" s="3" t="e">
        <f>+#REF!*BR166</f>
        <v>#REF!</v>
      </c>
    </row>
    <row r="167" spans="1:71">
      <c r="B167" s="251"/>
      <c r="C167" s="251"/>
      <c r="D167" s="251"/>
      <c r="E167" s="251"/>
      <c r="F167" s="251"/>
      <c r="G167" s="251"/>
      <c r="H167" s="251"/>
      <c r="I167" s="251"/>
      <c r="J167" s="251"/>
      <c r="K167" s="251"/>
      <c r="L167" s="251"/>
      <c r="M167" s="251"/>
      <c r="N167" s="251"/>
      <c r="O167" s="251"/>
      <c r="P167" s="251"/>
      <c r="Q167" s="251"/>
      <c r="R167" s="251"/>
      <c r="S167" s="251"/>
      <c r="T167" s="251"/>
      <c r="U167" s="251"/>
      <c r="V167" s="251"/>
      <c r="W167" s="251"/>
      <c r="X167" s="251"/>
      <c r="Y167" s="251"/>
      <c r="Z167" s="251"/>
      <c r="AA167" s="251"/>
      <c r="AB167" s="251"/>
      <c r="AC167" s="251"/>
      <c r="AD167" s="251"/>
      <c r="AE167" s="251"/>
      <c r="AF167" s="251"/>
      <c r="AG167" s="251"/>
      <c r="AH167" s="251"/>
      <c r="AI167" s="251"/>
      <c r="AJ167" s="251"/>
      <c r="AK167" s="251"/>
      <c r="AL167" s="251"/>
      <c r="AM167" s="251"/>
      <c r="AN167" s="251"/>
      <c r="AO167" s="251"/>
      <c r="AP167" s="251"/>
      <c r="AQ167" s="251"/>
      <c r="AR167" s="251"/>
      <c r="AS167" s="251"/>
      <c r="AT167" s="251"/>
      <c r="AU167" s="251"/>
      <c r="AV167" s="251"/>
      <c r="AW167" s="251"/>
      <c r="AX167" s="251"/>
      <c r="AY167" s="251"/>
      <c r="AZ167" s="251"/>
      <c r="BA167" s="251"/>
      <c r="BB167" s="6"/>
      <c r="BC167" s="6"/>
      <c r="BD167" s="6"/>
      <c r="BE167" s="9"/>
      <c r="BO167" s="6">
        <v>393926.2</v>
      </c>
      <c r="BQ167" s="2"/>
      <c r="BR167" s="3">
        <f t="shared" si="7"/>
        <v>90</v>
      </c>
      <c r="BS167" s="3" t="e">
        <f>+#REF!*BR167</f>
        <v>#REF!</v>
      </c>
    </row>
    <row r="168" spans="1:71">
      <c r="B168" s="251"/>
      <c r="C168" s="251"/>
      <c r="D168" s="251"/>
      <c r="E168" s="251"/>
      <c r="F168" s="251"/>
      <c r="G168" s="251"/>
      <c r="H168" s="251"/>
      <c r="I168" s="251"/>
      <c r="J168" s="251"/>
      <c r="K168" s="251"/>
      <c r="L168" s="251"/>
      <c r="M168" s="251"/>
      <c r="N168" s="251"/>
      <c r="O168" s="251"/>
      <c r="P168" s="251"/>
      <c r="Q168" s="251"/>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51"/>
      <c r="AP168" s="251"/>
      <c r="AQ168" s="251"/>
      <c r="AR168" s="251"/>
      <c r="AS168" s="251"/>
      <c r="AT168" s="251"/>
      <c r="AU168" s="251"/>
      <c r="AV168" s="251"/>
      <c r="AW168" s="251"/>
      <c r="AX168" s="251"/>
      <c r="AY168" s="251"/>
      <c r="AZ168" s="251"/>
      <c r="BA168" s="251"/>
      <c r="BB168" s="6"/>
      <c r="BC168" s="6"/>
      <c r="BD168" s="6"/>
      <c r="BE168" s="9"/>
      <c r="BO168" s="10">
        <v>406710.24</v>
      </c>
      <c r="BQ168" s="2"/>
      <c r="BR168" s="3">
        <f t="shared" si="7"/>
        <v>90</v>
      </c>
      <c r="BS168" s="3" t="e">
        <f>+#REF!*BR168</f>
        <v>#REF!</v>
      </c>
    </row>
    <row r="169" spans="1:71">
      <c r="B169" s="251"/>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c r="AA169" s="251"/>
      <c r="AB169" s="251"/>
      <c r="AC169" s="251"/>
      <c r="AD169" s="251"/>
      <c r="AE169" s="251"/>
      <c r="AF169" s="251"/>
      <c r="AG169" s="251"/>
      <c r="AH169" s="251"/>
      <c r="AI169" s="251"/>
      <c r="AJ169" s="251"/>
      <c r="AK169" s="251"/>
      <c r="AL169" s="251"/>
      <c r="AM169" s="251"/>
      <c r="AN169" s="251"/>
      <c r="AO169" s="251"/>
      <c r="AP169" s="251"/>
      <c r="AQ169" s="251"/>
      <c r="AR169" s="251"/>
      <c r="AS169" s="251"/>
      <c r="AT169" s="251"/>
      <c r="AU169" s="251"/>
      <c r="AV169" s="251"/>
      <c r="AW169" s="251"/>
      <c r="AX169" s="251"/>
      <c r="AY169" s="251"/>
      <c r="AZ169" s="251"/>
      <c r="BA169" s="251"/>
      <c r="BB169" s="6"/>
      <c r="BC169" s="6"/>
      <c r="BD169" s="6"/>
      <c r="BE169" s="9"/>
      <c r="BO169" s="10">
        <v>423263.10399999999</v>
      </c>
      <c r="BR169" s="3">
        <f t="shared" si="7"/>
        <v>90</v>
      </c>
      <c r="BS169" s="3" t="e">
        <f>+#REF!*BR169</f>
        <v>#REF!</v>
      </c>
    </row>
    <row r="170" spans="1:71">
      <c r="B170" s="251"/>
      <c r="C170" s="251"/>
      <c r="D170" s="251"/>
      <c r="E170" s="251"/>
      <c r="F170" s="251"/>
      <c r="G170" s="251"/>
      <c r="H170" s="251"/>
      <c r="I170" s="251"/>
      <c r="J170" s="251"/>
      <c r="K170" s="251"/>
      <c r="L170" s="251"/>
      <c r="M170" s="251"/>
      <c r="N170" s="251"/>
      <c r="O170" s="251"/>
      <c r="P170" s="251"/>
      <c r="Q170" s="251"/>
      <c r="R170" s="251"/>
      <c r="S170" s="251"/>
      <c r="T170" s="251"/>
      <c r="U170" s="251"/>
      <c r="V170" s="251"/>
      <c r="W170" s="251"/>
      <c r="X170" s="251"/>
      <c r="Y170" s="251"/>
      <c r="Z170" s="251"/>
      <c r="AA170" s="251"/>
      <c r="AB170" s="251"/>
      <c r="AC170" s="251"/>
      <c r="AD170" s="251"/>
      <c r="AE170" s="251"/>
      <c r="AF170" s="251"/>
      <c r="AG170" s="251"/>
      <c r="AH170" s="251"/>
      <c r="AI170" s="251"/>
      <c r="AJ170" s="251"/>
      <c r="AK170" s="251"/>
      <c r="AL170" s="251"/>
      <c r="AM170" s="251"/>
      <c r="AN170" s="251"/>
      <c r="AO170" s="251"/>
      <c r="AP170" s="251"/>
      <c r="AQ170" s="251"/>
      <c r="AR170" s="251"/>
      <c r="AS170" s="251"/>
      <c r="AT170" s="251"/>
      <c r="AU170" s="251"/>
      <c r="AV170" s="251"/>
      <c r="AW170" s="251"/>
      <c r="AX170" s="251"/>
      <c r="AY170" s="251"/>
      <c r="AZ170" s="251"/>
      <c r="BA170" s="251"/>
      <c r="BB170" s="6"/>
      <c r="BC170" s="6"/>
      <c r="BD170" s="6"/>
      <c r="BE170" s="9"/>
      <c r="BO170" s="10">
        <v>472654.46399999998</v>
      </c>
      <c r="BR170" s="3">
        <f t="shared" si="7"/>
        <v>90</v>
      </c>
      <c r="BS170" s="3" t="e">
        <f>+#REF!*BR170</f>
        <v>#REF!</v>
      </c>
    </row>
    <row r="171" spans="1:71">
      <c r="B171" s="251"/>
      <c r="C171" s="251"/>
      <c r="D171" s="251"/>
      <c r="E171" s="251"/>
      <c r="F171" s="251"/>
      <c r="G171" s="251"/>
      <c r="H171" s="251"/>
      <c r="I171" s="251"/>
      <c r="J171" s="251"/>
      <c r="K171" s="251"/>
      <c r="L171" s="251"/>
      <c r="M171" s="251"/>
      <c r="N171" s="251"/>
      <c r="O171" s="251"/>
      <c r="P171" s="251"/>
      <c r="Q171" s="251"/>
      <c r="R171" s="251"/>
      <c r="S171" s="251"/>
      <c r="T171" s="251"/>
      <c r="U171" s="251"/>
      <c r="V171" s="251"/>
      <c r="W171" s="251"/>
      <c r="X171" s="251"/>
      <c r="Y171" s="251"/>
      <c r="Z171" s="251"/>
      <c r="AA171" s="251"/>
      <c r="AB171" s="251"/>
      <c r="AC171" s="251"/>
      <c r="AD171" s="251"/>
      <c r="AE171" s="251"/>
      <c r="AF171" s="251"/>
      <c r="AG171" s="251"/>
      <c r="AH171" s="251"/>
      <c r="AI171" s="251"/>
      <c r="AJ171" s="251"/>
      <c r="AK171" s="251"/>
      <c r="AL171" s="251"/>
      <c r="AM171" s="251"/>
      <c r="AN171" s="251"/>
      <c r="AO171" s="251"/>
      <c r="AP171" s="251"/>
      <c r="AQ171" s="251"/>
      <c r="AR171" s="251"/>
      <c r="AS171" s="251"/>
      <c r="AT171" s="251"/>
      <c r="AU171" s="251"/>
      <c r="AV171" s="251"/>
      <c r="AW171" s="251"/>
      <c r="AX171" s="251"/>
      <c r="AY171" s="251"/>
      <c r="AZ171" s="251"/>
      <c r="BA171" s="251"/>
      <c r="BB171" s="6"/>
      <c r="BC171" s="6"/>
      <c r="BD171" s="6"/>
      <c r="BE171" s="9"/>
      <c r="BO171" s="10">
        <v>340735.79200000002</v>
      </c>
      <c r="BR171" s="3">
        <f t="shared" si="7"/>
        <v>90</v>
      </c>
      <c r="BS171" s="3" t="e">
        <f>+#REF!*BR171</f>
        <v>#REF!</v>
      </c>
    </row>
    <row r="172" spans="1:71">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c r="AA172" s="251"/>
      <c r="AB172" s="251"/>
      <c r="AC172" s="251"/>
      <c r="AD172" s="251"/>
      <c r="AE172" s="251"/>
      <c r="AF172" s="251"/>
      <c r="AG172" s="251"/>
      <c r="AH172" s="251"/>
      <c r="AI172" s="251"/>
      <c r="AJ172" s="251"/>
      <c r="AK172" s="251"/>
      <c r="AL172" s="251"/>
      <c r="AM172" s="251"/>
      <c r="AN172" s="251"/>
      <c r="AO172" s="251"/>
      <c r="AP172" s="251"/>
      <c r="AQ172" s="251"/>
      <c r="AR172" s="251"/>
      <c r="AS172" s="251"/>
      <c r="AT172" s="251"/>
      <c r="AU172" s="251"/>
      <c r="AV172" s="251"/>
      <c r="AW172" s="251"/>
      <c r="AX172" s="251"/>
      <c r="AY172" s="251"/>
      <c r="AZ172" s="251"/>
      <c r="BA172" s="251"/>
      <c r="BB172" s="6"/>
      <c r="BC172" s="6"/>
      <c r="BD172" s="6"/>
      <c r="BE172" s="9"/>
      <c r="BO172" s="10">
        <v>359987.02399999998</v>
      </c>
      <c r="BR172" s="3">
        <f t="shared" si="7"/>
        <v>90</v>
      </c>
      <c r="BS172" s="3" t="e">
        <f>+#REF!*BR172</f>
        <v>#REF!</v>
      </c>
    </row>
    <row r="173" spans="1:71">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c r="AA173" s="251"/>
      <c r="AB173" s="251"/>
      <c r="AC173" s="251"/>
      <c r="AD173" s="251"/>
      <c r="AE173" s="251"/>
      <c r="AF173" s="251"/>
      <c r="AG173" s="251"/>
      <c r="AH173" s="251"/>
      <c r="AI173" s="251"/>
      <c r="AJ173" s="251"/>
      <c r="AK173" s="251"/>
      <c r="AL173" s="251"/>
      <c r="AM173" s="251"/>
      <c r="AN173" s="251"/>
      <c r="AO173" s="251"/>
      <c r="AP173" s="251"/>
      <c r="AQ173" s="251"/>
      <c r="AR173" s="251"/>
      <c r="AS173" s="251"/>
      <c r="AT173" s="251"/>
      <c r="AU173" s="251"/>
      <c r="AV173" s="251"/>
      <c r="AW173" s="251"/>
      <c r="AX173" s="251"/>
      <c r="AY173" s="251"/>
      <c r="AZ173" s="251"/>
      <c r="BA173" s="251"/>
      <c r="BB173" s="6"/>
      <c r="BC173" s="6"/>
      <c r="BD173" s="6"/>
      <c r="BE173" s="9"/>
      <c r="BO173" s="10">
        <v>404153.48800000001</v>
      </c>
      <c r="BR173" s="3">
        <f t="shared" si="7"/>
        <v>90</v>
      </c>
      <c r="BS173" s="3" t="e">
        <f>+#REF!*BR173</f>
        <v>#REF!</v>
      </c>
    </row>
    <row r="174" spans="1:71">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251"/>
      <c r="AF174" s="251"/>
      <c r="AG174" s="251"/>
      <c r="AH174" s="251"/>
      <c r="AI174" s="251"/>
      <c r="AJ174" s="251"/>
      <c r="AK174" s="251"/>
      <c r="AL174" s="251"/>
      <c r="AM174" s="251"/>
      <c r="AN174" s="251"/>
      <c r="AO174" s="251"/>
      <c r="AP174" s="251"/>
      <c r="AQ174" s="251"/>
      <c r="AR174" s="251"/>
      <c r="AS174" s="251"/>
      <c r="AT174" s="251"/>
      <c r="AU174" s="251"/>
      <c r="AV174" s="251"/>
      <c r="AW174" s="251"/>
      <c r="AX174" s="251"/>
      <c r="AY174" s="251"/>
      <c r="AZ174" s="251"/>
      <c r="BA174" s="251"/>
      <c r="BB174" s="6"/>
      <c r="BC174" s="6"/>
      <c r="BD174" s="6"/>
      <c r="BE174" s="9"/>
      <c r="BO174" s="10">
        <v>323516.22399999999</v>
      </c>
      <c r="BR174" s="3">
        <f t="shared" si="7"/>
        <v>90</v>
      </c>
      <c r="BS174" s="3" t="e">
        <f>+#REF!*BR174</f>
        <v>#REF!</v>
      </c>
    </row>
    <row r="175" spans="1:71">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c r="AA175" s="251"/>
      <c r="AB175" s="251"/>
      <c r="AC175" s="251"/>
      <c r="AD175" s="251"/>
      <c r="AE175" s="251"/>
      <c r="AF175" s="251"/>
      <c r="AG175" s="251"/>
      <c r="AH175" s="251"/>
      <c r="AI175" s="251"/>
      <c r="AJ175" s="251"/>
      <c r="AK175" s="251"/>
      <c r="AL175" s="251"/>
      <c r="AM175" s="251"/>
      <c r="AN175" s="251"/>
      <c r="AO175" s="251"/>
      <c r="AP175" s="251"/>
      <c r="AQ175" s="251"/>
      <c r="AR175" s="251"/>
      <c r="AS175" s="251"/>
      <c r="AT175" s="251"/>
      <c r="AU175" s="251"/>
      <c r="AV175" s="251"/>
      <c r="AW175" s="251"/>
      <c r="AX175" s="251"/>
      <c r="AY175" s="251"/>
      <c r="AZ175" s="251"/>
      <c r="BA175" s="251"/>
      <c r="BB175" s="6"/>
      <c r="BC175" s="6"/>
      <c r="BD175" s="6"/>
      <c r="BE175" s="9"/>
      <c r="BO175" s="10">
        <v>362227.984</v>
      </c>
      <c r="BR175" s="3">
        <f t="shared" si="7"/>
        <v>90</v>
      </c>
      <c r="BS175" s="3" t="e">
        <f>+#REF!*BR175</f>
        <v>#REF!</v>
      </c>
    </row>
    <row r="176" spans="1:71">
      <c r="B176" s="251"/>
      <c r="C176" s="251"/>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c r="AA176" s="251"/>
      <c r="AB176" s="251"/>
      <c r="AC176" s="251"/>
      <c r="AD176" s="251"/>
      <c r="AE176" s="251"/>
      <c r="AF176" s="251"/>
      <c r="AG176" s="251"/>
      <c r="AH176" s="251"/>
      <c r="AI176" s="251"/>
      <c r="AJ176" s="251"/>
      <c r="AK176" s="251"/>
      <c r="AL176" s="251"/>
      <c r="AM176" s="251"/>
      <c r="AN176" s="251"/>
      <c r="AO176" s="251"/>
      <c r="AP176" s="251"/>
      <c r="AQ176" s="251"/>
      <c r="AR176" s="251"/>
      <c r="AS176" s="251"/>
      <c r="AT176" s="251"/>
      <c r="AU176" s="251"/>
      <c r="AV176" s="251"/>
      <c r="AW176" s="251"/>
      <c r="AX176" s="251"/>
      <c r="AY176" s="251"/>
      <c r="AZ176" s="251"/>
      <c r="BA176" s="251"/>
      <c r="BB176" s="6"/>
      <c r="BC176" s="6"/>
      <c r="BD176" s="6"/>
      <c r="BE176" s="9"/>
      <c r="BO176" s="10">
        <v>384787.16800000001</v>
      </c>
      <c r="BR176" s="3">
        <f t="shared" si="7"/>
        <v>90</v>
      </c>
      <c r="BS176" s="3" t="e">
        <f>+#REF!*BR176</f>
        <v>#REF!</v>
      </c>
    </row>
    <row r="181" spans="2:53">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row>
    <row r="183" spans="2:53">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row>
  </sheetData>
  <mergeCells count="2">
    <mergeCell ref="AE10:AL10"/>
    <mergeCell ref="AO10:AU10"/>
  </mergeCells>
  <phoneticPr fontId="4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81BD-A2CE-4570-B58A-81C3F7634547}">
  <sheetPr codeName="Sheet3"/>
  <dimension ref="B5:J17"/>
  <sheetViews>
    <sheetView workbookViewId="0">
      <selection activeCell="D18" sqref="D18"/>
    </sheetView>
  </sheetViews>
  <sheetFormatPr defaultRowHeight="14.4"/>
  <cols>
    <col min="2" max="2" width="15.33203125" style="13" customWidth="1"/>
    <col min="3" max="5" width="12.6640625" customWidth="1"/>
  </cols>
  <sheetData>
    <row r="5" spans="2:10" ht="28.8">
      <c r="C5" t="s">
        <v>868</v>
      </c>
      <c r="D5" t="s">
        <v>869</v>
      </c>
      <c r="E5" s="13" t="s">
        <v>870</v>
      </c>
    </row>
    <row r="6" spans="2:10">
      <c r="B6" s="13" t="s">
        <v>871</v>
      </c>
      <c r="C6">
        <v>14154.02</v>
      </c>
      <c r="D6">
        <v>16686.009999999998</v>
      </c>
      <c r="E6">
        <v>18542.009999999998</v>
      </c>
      <c r="H6">
        <f>+D6-C6</f>
        <v>2531.989999999998</v>
      </c>
      <c r="J6">
        <f>+E6-D6</f>
        <v>1856</v>
      </c>
    </row>
    <row r="7" spans="2:10">
      <c r="B7" s="13" t="s">
        <v>872</v>
      </c>
      <c r="C7">
        <v>17723.13</v>
      </c>
      <c r="D7">
        <v>21199.93</v>
      </c>
      <c r="E7">
        <v>23055.26</v>
      </c>
      <c r="H7">
        <f>+D7-C7</f>
        <v>3476.7999999999993</v>
      </c>
      <c r="J7">
        <f>+E7-D7</f>
        <v>1855.3299999999981</v>
      </c>
    </row>
    <row r="8" spans="2:10">
      <c r="B8" s="13" t="s">
        <v>873</v>
      </c>
      <c r="E8">
        <v>1918.24</v>
      </c>
    </row>
    <row r="9" spans="2:10">
      <c r="B9" s="13" t="s">
        <v>874</v>
      </c>
      <c r="E9">
        <v>3841.6</v>
      </c>
    </row>
    <row r="10" spans="2:10" ht="28.8">
      <c r="B10" s="13" t="s">
        <v>883</v>
      </c>
      <c r="E10" t="e">
        <f>+#REF!</f>
        <v>#REF!</v>
      </c>
    </row>
    <row r="13" spans="2:10">
      <c r="C13" t="s">
        <v>868</v>
      </c>
      <c r="D13" t="s">
        <v>869</v>
      </c>
      <c r="F13" t="s">
        <v>1086</v>
      </c>
    </row>
    <row r="14" spans="2:10" ht="28.8">
      <c r="B14" s="13" t="s">
        <v>875</v>
      </c>
      <c r="C14" s="99" t="e">
        <f>CEILING((C6+J6+E8)*1.36*1.05,50)+E10</f>
        <v>#REF!</v>
      </c>
      <c r="D14" s="99" t="e">
        <f>CEILING((E6+E8)*1.36*1.05,25)+E10</f>
        <v>#REF!</v>
      </c>
    </row>
    <row r="15" spans="2:10" ht="28.8">
      <c r="B15" s="13" t="s">
        <v>876</v>
      </c>
      <c r="C15" s="99" t="e">
        <f>+CEILING((C6+J6+E9)*1.36*1.05,25)+E10</f>
        <v>#REF!</v>
      </c>
      <c r="D15" s="99" t="e">
        <f>+CEILING((E6+E9)*1.36*1.05,25)+E10</f>
        <v>#REF!</v>
      </c>
    </row>
    <row r="16" spans="2:10" ht="28.8">
      <c r="B16" s="13" t="s">
        <v>877</v>
      </c>
      <c r="C16" s="99" t="e">
        <f>+CEILING((C7+J6+E8)*1.36*1.05,25)+E10</f>
        <v>#REF!</v>
      </c>
      <c r="D16" s="99" t="e">
        <f>+CEILING((E7+E8)*1.36*1.05,25)+E10</f>
        <v>#REF!</v>
      </c>
    </row>
    <row r="17" spans="2:4" ht="28.8">
      <c r="B17" s="13" t="s">
        <v>878</v>
      </c>
      <c r="C17" s="99" t="e">
        <f>+CEILING((C7+E9+J6)*1.36*1.05,25)+E10</f>
        <v>#REF!</v>
      </c>
      <c r="D17" s="99" t="e">
        <f>+CEILING((E7+E9)*1.36*1.05,25)+E10</f>
        <v>#REF!</v>
      </c>
    </row>
  </sheetData>
  <sheetProtection algorithmName="SHA-512" hashValue="unJ1gvB3qiKhvNEv3EfgIebkH4hagBbrbmwSbjDAE32SR6vq4Q631iW5lsiYtDZkwBmU7Gx60r9XvCBvq3qk/g==" saltValue="CFXENaLy2EALMLQMCRvJWg==" spinCount="100000" sheet="1" objects="1" scenarios="1"/>
  <pageMargins left="0.7" right="0.7" top="0.75" bottom="0.75" header="0.3" footer="0.3"/>
  <pageSetup paperSize="9" orientation="portrait" horizontalDpi="12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37AC-736E-413D-85C8-AE6B96214056}">
  <sheetPr codeName="Sheet2">
    <pageSetUpPr fitToPage="1"/>
  </sheetPr>
  <dimension ref="A1:M55"/>
  <sheetViews>
    <sheetView zoomScaleNormal="100" workbookViewId="0">
      <selection activeCell="H8" sqref="H8"/>
    </sheetView>
  </sheetViews>
  <sheetFormatPr defaultRowHeight="13.2"/>
  <cols>
    <col min="1" max="1" width="19.88671875" style="62" customWidth="1"/>
    <col min="2" max="2" width="15.6640625" style="62" customWidth="1"/>
    <col min="3" max="4" width="10.6640625" style="63" customWidth="1"/>
    <col min="5" max="5" width="10.6640625" style="64" customWidth="1"/>
    <col min="6" max="6" width="16.88671875" style="65" bestFit="1" customWidth="1"/>
    <col min="7" max="11" width="9.109375" style="62"/>
    <col min="12" max="12" width="11.33203125" style="62" customWidth="1"/>
    <col min="13" max="255" width="9.109375" style="62"/>
    <col min="256" max="256" width="22.33203125" style="62" customWidth="1"/>
    <col min="257" max="257" width="19" style="62" customWidth="1"/>
    <col min="258" max="260" width="12.6640625" style="62" customWidth="1"/>
    <col min="261" max="261" width="17.88671875" style="62" customWidth="1"/>
    <col min="262" max="262" width="12.6640625" style="62" customWidth="1"/>
    <col min="263" max="266" width="9.109375" style="62"/>
    <col min="267" max="267" width="11.33203125" style="62" customWidth="1"/>
    <col min="268" max="511" width="9.109375" style="62"/>
    <col min="512" max="512" width="22.33203125" style="62" customWidth="1"/>
    <col min="513" max="513" width="19" style="62" customWidth="1"/>
    <col min="514" max="516" width="12.6640625" style="62" customWidth="1"/>
    <col min="517" max="517" width="17.88671875" style="62" customWidth="1"/>
    <col min="518" max="518" width="12.6640625" style="62" customWidth="1"/>
    <col min="519" max="522" width="9.109375" style="62"/>
    <col min="523" max="523" width="11.33203125" style="62" customWidth="1"/>
    <col min="524" max="767" width="9.109375" style="62"/>
    <col min="768" max="768" width="22.33203125" style="62" customWidth="1"/>
    <col min="769" max="769" width="19" style="62" customWidth="1"/>
    <col min="770" max="772" width="12.6640625" style="62" customWidth="1"/>
    <col min="773" max="773" width="17.88671875" style="62" customWidth="1"/>
    <col min="774" max="774" width="12.6640625" style="62" customWidth="1"/>
    <col min="775" max="778" width="9.109375" style="62"/>
    <col min="779" max="779" width="11.33203125" style="62" customWidth="1"/>
    <col min="780" max="1023" width="9.109375" style="62"/>
    <col min="1024" max="1024" width="22.33203125" style="62" customWidth="1"/>
    <col min="1025" max="1025" width="19" style="62" customWidth="1"/>
    <col min="1026" max="1028" width="12.6640625" style="62" customWidth="1"/>
    <col min="1029" max="1029" width="17.88671875" style="62" customWidth="1"/>
    <col min="1030" max="1030" width="12.6640625" style="62" customWidth="1"/>
    <col min="1031" max="1034" width="9.109375" style="62"/>
    <col min="1035" max="1035" width="11.33203125" style="62" customWidth="1"/>
    <col min="1036" max="1279" width="9.109375" style="62"/>
    <col min="1280" max="1280" width="22.33203125" style="62" customWidth="1"/>
    <col min="1281" max="1281" width="19" style="62" customWidth="1"/>
    <col min="1282" max="1284" width="12.6640625" style="62" customWidth="1"/>
    <col min="1285" max="1285" width="17.88671875" style="62" customWidth="1"/>
    <col min="1286" max="1286" width="12.6640625" style="62" customWidth="1"/>
    <col min="1287" max="1290" width="9.109375" style="62"/>
    <col min="1291" max="1291" width="11.33203125" style="62" customWidth="1"/>
    <col min="1292" max="1535" width="9.109375" style="62"/>
    <col min="1536" max="1536" width="22.33203125" style="62" customWidth="1"/>
    <col min="1537" max="1537" width="19" style="62" customWidth="1"/>
    <col min="1538" max="1540" width="12.6640625" style="62" customWidth="1"/>
    <col min="1541" max="1541" width="17.88671875" style="62" customWidth="1"/>
    <col min="1542" max="1542" width="12.6640625" style="62" customWidth="1"/>
    <col min="1543" max="1546" width="9.109375" style="62"/>
    <col min="1547" max="1547" width="11.33203125" style="62" customWidth="1"/>
    <col min="1548" max="1791" width="9.109375" style="62"/>
    <col min="1792" max="1792" width="22.33203125" style="62" customWidth="1"/>
    <col min="1793" max="1793" width="19" style="62" customWidth="1"/>
    <col min="1794" max="1796" width="12.6640625" style="62" customWidth="1"/>
    <col min="1797" max="1797" width="17.88671875" style="62" customWidth="1"/>
    <col min="1798" max="1798" width="12.6640625" style="62" customWidth="1"/>
    <col min="1799" max="1802" width="9.109375" style="62"/>
    <col min="1803" max="1803" width="11.33203125" style="62" customWidth="1"/>
    <col min="1804" max="2047" width="9.109375" style="62"/>
    <col min="2048" max="2048" width="22.33203125" style="62" customWidth="1"/>
    <col min="2049" max="2049" width="19" style="62" customWidth="1"/>
    <col min="2050" max="2052" width="12.6640625" style="62" customWidth="1"/>
    <col min="2053" max="2053" width="17.88671875" style="62" customWidth="1"/>
    <col min="2054" max="2054" width="12.6640625" style="62" customWidth="1"/>
    <col min="2055" max="2058" width="9.109375" style="62"/>
    <col min="2059" max="2059" width="11.33203125" style="62" customWidth="1"/>
    <col min="2060" max="2303" width="9.109375" style="62"/>
    <col min="2304" max="2304" width="22.33203125" style="62" customWidth="1"/>
    <col min="2305" max="2305" width="19" style="62" customWidth="1"/>
    <col min="2306" max="2308" width="12.6640625" style="62" customWidth="1"/>
    <col min="2309" max="2309" width="17.88671875" style="62" customWidth="1"/>
    <col min="2310" max="2310" width="12.6640625" style="62" customWidth="1"/>
    <col min="2311" max="2314" width="9.109375" style="62"/>
    <col min="2315" max="2315" width="11.33203125" style="62" customWidth="1"/>
    <col min="2316" max="2559" width="9.109375" style="62"/>
    <col min="2560" max="2560" width="22.33203125" style="62" customWidth="1"/>
    <col min="2561" max="2561" width="19" style="62" customWidth="1"/>
    <col min="2562" max="2564" width="12.6640625" style="62" customWidth="1"/>
    <col min="2565" max="2565" width="17.88671875" style="62" customWidth="1"/>
    <col min="2566" max="2566" width="12.6640625" style="62" customWidth="1"/>
    <col min="2567" max="2570" width="9.109375" style="62"/>
    <col min="2571" max="2571" width="11.33203125" style="62" customWidth="1"/>
    <col min="2572" max="2815" width="9.109375" style="62"/>
    <col min="2816" max="2816" width="22.33203125" style="62" customWidth="1"/>
    <col min="2817" max="2817" width="19" style="62" customWidth="1"/>
    <col min="2818" max="2820" width="12.6640625" style="62" customWidth="1"/>
    <col min="2821" max="2821" width="17.88671875" style="62" customWidth="1"/>
    <col min="2822" max="2822" width="12.6640625" style="62" customWidth="1"/>
    <col min="2823" max="2826" width="9.109375" style="62"/>
    <col min="2827" max="2827" width="11.33203125" style="62" customWidth="1"/>
    <col min="2828" max="3071" width="9.109375" style="62"/>
    <col min="3072" max="3072" width="22.33203125" style="62" customWidth="1"/>
    <col min="3073" max="3073" width="19" style="62" customWidth="1"/>
    <col min="3074" max="3076" width="12.6640625" style="62" customWidth="1"/>
    <col min="3077" max="3077" width="17.88671875" style="62" customWidth="1"/>
    <col min="3078" max="3078" width="12.6640625" style="62" customWidth="1"/>
    <col min="3079" max="3082" width="9.109375" style="62"/>
    <col min="3083" max="3083" width="11.33203125" style="62" customWidth="1"/>
    <col min="3084" max="3327" width="9.109375" style="62"/>
    <col min="3328" max="3328" width="22.33203125" style="62" customWidth="1"/>
    <col min="3329" max="3329" width="19" style="62" customWidth="1"/>
    <col min="3330" max="3332" width="12.6640625" style="62" customWidth="1"/>
    <col min="3333" max="3333" width="17.88671875" style="62" customWidth="1"/>
    <col min="3334" max="3334" width="12.6640625" style="62" customWidth="1"/>
    <col min="3335" max="3338" width="9.109375" style="62"/>
    <col min="3339" max="3339" width="11.33203125" style="62" customWidth="1"/>
    <col min="3340" max="3583" width="9.109375" style="62"/>
    <col min="3584" max="3584" width="22.33203125" style="62" customWidth="1"/>
    <col min="3585" max="3585" width="19" style="62" customWidth="1"/>
    <col min="3586" max="3588" width="12.6640625" style="62" customWidth="1"/>
    <col min="3589" max="3589" width="17.88671875" style="62" customWidth="1"/>
    <col min="3590" max="3590" width="12.6640625" style="62" customWidth="1"/>
    <col min="3591" max="3594" width="9.109375" style="62"/>
    <col min="3595" max="3595" width="11.33203125" style="62" customWidth="1"/>
    <col min="3596" max="3839" width="9.109375" style="62"/>
    <col min="3840" max="3840" width="22.33203125" style="62" customWidth="1"/>
    <col min="3841" max="3841" width="19" style="62" customWidth="1"/>
    <col min="3842" max="3844" width="12.6640625" style="62" customWidth="1"/>
    <col min="3845" max="3845" width="17.88671875" style="62" customWidth="1"/>
    <col min="3846" max="3846" width="12.6640625" style="62" customWidth="1"/>
    <col min="3847" max="3850" width="9.109375" style="62"/>
    <col min="3851" max="3851" width="11.33203125" style="62" customWidth="1"/>
    <col min="3852" max="4095" width="9.109375" style="62"/>
    <col min="4096" max="4096" width="22.33203125" style="62" customWidth="1"/>
    <col min="4097" max="4097" width="19" style="62" customWidth="1"/>
    <col min="4098" max="4100" width="12.6640625" style="62" customWidth="1"/>
    <col min="4101" max="4101" width="17.88671875" style="62" customWidth="1"/>
    <col min="4102" max="4102" width="12.6640625" style="62" customWidth="1"/>
    <col min="4103" max="4106" width="9.109375" style="62"/>
    <col min="4107" max="4107" width="11.33203125" style="62" customWidth="1"/>
    <col min="4108" max="4351" width="9.109375" style="62"/>
    <col min="4352" max="4352" width="22.33203125" style="62" customWidth="1"/>
    <col min="4353" max="4353" width="19" style="62" customWidth="1"/>
    <col min="4354" max="4356" width="12.6640625" style="62" customWidth="1"/>
    <col min="4357" max="4357" width="17.88671875" style="62" customWidth="1"/>
    <col min="4358" max="4358" width="12.6640625" style="62" customWidth="1"/>
    <col min="4359" max="4362" width="9.109375" style="62"/>
    <col min="4363" max="4363" width="11.33203125" style="62" customWidth="1"/>
    <col min="4364" max="4607" width="9.109375" style="62"/>
    <col min="4608" max="4608" width="22.33203125" style="62" customWidth="1"/>
    <col min="4609" max="4609" width="19" style="62" customWidth="1"/>
    <col min="4610" max="4612" width="12.6640625" style="62" customWidth="1"/>
    <col min="4613" max="4613" width="17.88671875" style="62" customWidth="1"/>
    <col min="4614" max="4614" width="12.6640625" style="62" customWidth="1"/>
    <col min="4615" max="4618" width="9.109375" style="62"/>
    <col min="4619" max="4619" width="11.33203125" style="62" customWidth="1"/>
    <col min="4620" max="4863" width="9.109375" style="62"/>
    <col min="4864" max="4864" width="22.33203125" style="62" customWidth="1"/>
    <col min="4865" max="4865" width="19" style="62" customWidth="1"/>
    <col min="4866" max="4868" width="12.6640625" style="62" customWidth="1"/>
    <col min="4869" max="4869" width="17.88671875" style="62" customWidth="1"/>
    <col min="4870" max="4870" width="12.6640625" style="62" customWidth="1"/>
    <col min="4871" max="4874" width="9.109375" style="62"/>
    <col min="4875" max="4875" width="11.33203125" style="62" customWidth="1"/>
    <col min="4876" max="5119" width="9.109375" style="62"/>
    <col min="5120" max="5120" width="22.33203125" style="62" customWidth="1"/>
    <col min="5121" max="5121" width="19" style="62" customWidth="1"/>
    <col min="5122" max="5124" width="12.6640625" style="62" customWidth="1"/>
    <col min="5125" max="5125" width="17.88671875" style="62" customWidth="1"/>
    <col min="5126" max="5126" width="12.6640625" style="62" customWidth="1"/>
    <col min="5127" max="5130" width="9.109375" style="62"/>
    <col min="5131" max="5131" width="11.33203125" style="62" customWidth="1"/>
    <col min="5132" max="5375" width="9.109375" style="62"/>
    <col min="5376" max="5376" width="22.33203125" style="62" customWidth="1"/>
    <col min="5377" max="5377" width="19" style="62" customWidth="1"/>
    <col min="5378" max="5380" width="12.6640625" style="62" customWidth="1"/>
    <col min="5381" max="5381" width="17.88671875" style="62" customWidth="1"/>
    <col min="5382" max="5382" width="12.6640625" style="62" customWidth="1"/>
    <col min="5383" max="5386" width="9.109375" style="62"/>
    <col min="5387" max="5387" width="11.33203125" style="62" customWidth="1"/>
    <col min="5388" max="5631" width="9.109375" style="62"/>
    <col min="5632" max="5632" width="22.33203125" style="62" customWidth="1"/>
    <col min="5633" max="5633" width="19" style="62" customWidth="1"/>
    <col min="5634" max="5636" width="12.6640625" style="62" customWidth="1"/>
    <col min="5637" max="5637" width="17.88671875" style="62" customWidth="1"/>
    <col min="5638" max="5638" width="12.6640625" style="62" customWidth="1"/>
    <col min="5639" max="5642" width="9.109375" style="62"/>
    <col min="5643" max="5643" width="11.33203125" style="62" customWidth="1"/>
    <col min="5644" max="5887" width="9.109375" style="62"/>
    <col min="5888" max="5888" width="22.33203125" style="62" customWidth="1"/>
    <col min="5889" max="5889" width="19" style="62" customWidth="1"/>
    <col min="5890" max="5892" width="12.6640625" style="62" customWidth="1"/>
    <col min="5893" max="5893" width="17.88671875" style="62" customWidth="1"/>
    <col min="5894" max="5894" width="12.6640625" style="62" customWidth="1"/>
    <col min="5895" max="5898" width="9.109375" style="62"/>
    <col min="5899" max="5899" width="11.33203125" style="62" customWidth="1"/>
    <col min="5900" max="6143" width="9.109375" style="62"/>
    <col min="6144" max="6144" width="22.33203125" style="62" customWidth="1"/>
    <col min="6145" max="6145" width="19" style="62" customWidth="1"/>
    <col min="6146" max="6148" width="12.6640625" style="62" customWidth="1"/>
    <col min="6149" max="6149" width="17.88671875" style="62" customWidth="1"/>
    <col min="6150" max="6150" width="12.6640625" style="62" customWidth="1"/>
    <col min="6151" max="6154" width="9.109375" style="62"/>
    <col min="6155" max="6155" width="11.33203125" style="62" customWidth="1"/>
    <col min="6156" max="6399" width="9.109375" style="62"/>
    <col min="6400" max="6400" width="22.33203125" style="62" customWidth="1"/>
    <col min="6401" max="6401" width="19" style="62" customWidth="1"/>
    <col min="6402" max="6404" width="12.6640625" style="62" customWidth="1"/>
    <col min="6405" max="6405" width="17.88671875" style="62" customWidth="1"/>
    <col min="6406" max="6406" width="12.6640625" style="62" customWidth="1"/>
    <col min="6407" max="6410" width="9.109375" style="62"/>
    <col min="6411" max="6411" width="11.33203125" style="62" customWidth="1"/>
    <col min="6412" max="6655" width="9.109375" style="62"/>
    <col min="6656" max="6656" width="22.33203125" style="62" customWidth="1"/>
    <col min="6657" max="6657" width="19" style="62" customWidth="1"/>
    <col min="6658" max="6660" width="12.6640625" style="62" customWidth="1"/>
    <col min="6661" max="6661" width="17.88671875" style="62" customWidth="1"/>
    <col min="6662" max="6662" width="12.6640625" style="62" customWidth="1"/>
    <col min="6663" max="6666" width="9.109375" style="62"/>
    <col min="6667" max="6667" width="11.33203125" style="62" customWidth="1"/>
    <col min="6668" max="6911" width="9.109375" style="62"/>
    <col min="6912" max="6912" width="22.33203125" style="62" customWidth="1"/>
    <col min="6913" max="6913" width="19" style="62" customWidth="1"/>
    <col min="6914" max="6916" width="12.6640625" style="62" customWidth="1"/>
    <col min="6917" max="6917" width="17.88671875" style="62" customWidth="1"/>
    <col min="6918" max="6918" width="12.6640625" style="62" customWidth="1"/>
    <col min="6919" max="6922" width="9.109375" style="62"/>
    <col min="6923" max="6923" width="11.33203125" style="62" customWidth="1"/>
    <col min="6924" max="7167" width="9.109375" style="62"/>
    <col min="7168" max="7168" width="22.33203125" style="62" customWidth="1"/>
    <col min="7169" max="7169" width="19" style="62" customWidth="1"/>
    <col min="7170" max="7172" width="12.6640625" style="62" customWidth="1"/>
    <col min="7173" max="7173" width="17.88671875" style="62" customWidth="1"/>
    <col min="7174" max="7174" width="12.6640625" style="62" customWidth="1"/>
    <col min="7175" max="7178" width="9.109375" style="62"/>
    <col min="7179" max="7179" width="11.33203125" style="62" customWidth="1"/>
    <col min="7180" max="7423" width="9.109375" style="62"/>
    <col min="7424" max="7424" width="22.33203125" style="62" customWidth="1"/>
    <col min="7425" max="7425" width="19" style="62" customWidth="1"/>
    <col min="7426" max="7428" width="12.6640625" style="62" customWidth="1"/>
    <col min="7429" max="7429" width="17.88671875" style="62" customWidth="1"/>
    <col min="7430" max="7430" width="12.6640625" style="62" customWidth="1"/>
    <col min="7431" max="7434" width="9.109375" style="62"/>
    <col min="7435" max="7435" width="11.33203125" style="62" customWidth="1"/>
    <col min="7436" max="7679" width="9.109375" style="62"/>
    <col min="7680" max="7680" width="22.33203125" style="62" customWidth="1"/>
    <col min="7681" max="7681" width="19" style="62" customWidth="1"/>
    <col min="7682" max="7684" width="12.6640625" style="62" customWidth="1"/>
    <col min="7685" max="7685" width="17.88671875" style="62" customWidth="1"/>
    <col min="7686" max="7686" width="12.6640625" style="62" customWidth="1"/>
    <col min="7687" max="7690" width="9.109375" style="62"/>
    <col min="7691" max="7691" width="11.33203125" style="62" customWidth="1"/>
    <col min="7692" max="7935" width="9.109375" style="62"/>
    <col min="7936" max="7936" width="22.33203125" style="62" customWidth="1"/>
    <col min="7937" max="7937" width="19" style="62" customWidth="1"/>
    <col min="7938" max="7940" width="12.6640625" style="62" customWidth="1"/>
    <col min="7941" max="7941" width="17.88671875" style="62" customWidth="1"/>
    <col min="7942" max="7942" width="12.6640625" style="62" customWidth="1"/>
    <col min="7943" max="7946" width="9.109375" style="62"/>
    <col min="7947" max="7947" width="11.33203125" style="62" customWidth="1"/>
    <col min="7948" max="8191" width="9.109375" style="62"/>
    <col min="8192" max="8192" width="22.33203125" style="62" customWidth="1"/>
    <col min="8193" max="8193" width="19" style="62" customWidth="1"/>
    <col min="8194" max="8196" width="12.6640625" style="62" customWidth="1"/>
    <col min="8197" max="8197" width="17.88671875" style="62" customWidth="1"/>
    <col min="8198" max="8198" width="12.6640625" style="62" customWidth="1"/>
    <col min="8199" max="8202" width="9.109375" style="62"/>
    <col min="8203" max="8203" width="11.33203125" style="62" customWidth="1"/>
    <col min="8204" max="8447" width="9.109375" style="62"/>
    <col min="8448" max="8448" width="22.33203125" style="62" customWidth="1"/>
    <col min="8449" max="8449" width="19" style="62" customWidth="1"/>
    <col min="8450" max="8452" width="12.6640625" style="62" customWidth="1"/>
    <col min="8453" max="8453" width="17.88671875" style="62" customWidth="1"/>
    <col min="8454" max="8454" width="12.6640625" style="62" customWidth="1"/>
    <col min="8455" max="8458" width="9.109375" style="62"/>
    <col min="8459" max="8459" width="11.33203125" style="62" customWidth="1"/>
    <col min="8460" max="8703" width="9.109375" style="62"/>
    <col min="8704" max="8704" width="22.33203125" style="62" customWidth="1"/>
    <col min="8705" max="8705" width="19" style="62" customWidth="1"/>
    <col min="8706" max="8708" width="12.6640625" style="62" customWidth="1"/>
    <col min="8709" max="8709" width="17.88671875" style="62" customWidth="1"/>
    <col min="8710" max="8710" width="12.6640625" style="62" customWidth="1"/>
    <col min="8711" max="8714" width="9.109375" style="62"/>
    <col min="8715" max="8715" width="11.33203125" style="62" customWidth="1"/>
    <col min="8716" max="8959" width="9.109375" style="62"/>
    <col min="8960" max="8960" width="22.33203125" style="62" customWidth="1"/>
    <col min="8961" max="8961" width="19" style="62" customWidth="1"/>
    <col min="8962" max="8964" width="12.6640625" style="62" customWidth="1"/>
    <col min="8965" max="8965" width="17.88671875" style="62" customWidth="1"/>
    <col min="8966" max="8966" width="12.6640625" style="62" customWidth="1"/>
    <col min="8967" max="8970" width="9.109375" style="62"/>
    <col min="8971" max="8971" width="11.33203125" style="62" customWidth="1"/>
    <col min="8972" max="9215" width="9.109375" style="62"/>
    <col min="9216" max="9216" width="22.33203125" style="62" customWidth="1"/>
    <col min="9217" max="9217" width="19" style="62" customWidth="1"/>
    <col min="9218" max="9220" width="12.6640625" style="62" customWidth="1"/>
    <col min="9221" max="9221" width="17.88671875" style="62" customWidth="1"/>
    <col min="9222" max="9222" width="12.6640625" style="62" customWidth="1"/>
    <col min="9223" max="9226" width="9.109375" style="62"/>
    <col min="9227" max="9227" width="11.33203125" style="62" customWidth="1"/>
    <col min="9228" max="9471" width="9.109375" style="62"/>
    <col min="9472" max="9472" width="22.33203125" style="62" customWidth="1"/>
    <col min="9473" max="9473" width="19" style="62" customWidth="1"/>
    <col min="9474" max="9476" width="12.6640625" style="62" customWidth="1"/>
    <col min="9477" max="9477" width="17.88671875" style="62" customWidth="1"/>
    <col min="9478" max="9478" width="12.6640625" style="62" customWidth="1"/>
    <col min="9479" max="9482" width="9.109375" style="62"/>
    <col min="9483" max="9483" width="11.33203125" style="62" customWidth="1"/>
    <col min="9484" max="9727" width="9.109375" style="62"/>
    <col min="9728" max="9728" width="22.33203125" style="62" customWidth="1"/>
    <col min="9729" max="9729" width="19" style="62" customWidth="1"/>
    <col min="9730" max="9732" width="12.6640625" style="62" customWidth="1"/>
    <col min="9733" max="9733" width="17.88671875" style="62" customWidth="1"/>
    <col min="9734" max="9734" width="12.6640625" style="62" customWidth="1"/>
    <col min="9735" max="9738" width="9.109375" style="62"/>
    <col min="9739" max="9739" width="11.33203125" style="62" customWidth="1"/>
    <col min="9740" max="9983" width="9.109375" style="62"/>
    <col min="9984" max="9984" width="22.33203125" style="62" customWidth="1"/>
    <col min="9985" max="9985" width="19" style="62" customWidth="1"/>
    <col min="9986" max="9988" width="12.6640625" style="62" customWidth="1"/>
    <col min="9989" max="9989" width="17.88671875" style="62" customWidth="1"/>
    <col min="9990" max="9990" width="12.6640625" style="62" customWidth="1"/>
    <col min="9991" max="9994" width="9.109375" style="62"/>
    <col min="9995" max="9995" width="11.33203125" style="62" customWidth="1"/>
    <col min="9996" max="10239" width="9.109375" style="62"/>
    <col min="10240" max="10240" width="22.33203125" style="62" customWidth="1"/>
    <col min="10241" max="10241" width="19" style="62" customWidth="1"/>
    <col min="10242" max="10244" width="12.6640625" style="62" customWidth="1"/>
    <col min="10245" max="10245" width="17.88671875" style="62" customWidth="1"/>
    <col min="10246" max="10246" width="12.6640625" style="62" customWidth="1"/>
    <col min="10247" max="10250" width="9.109375" style="62"/>
    <col min="10251" max="10251" width="11.33203125" style="62" customWidth="1"/>
    <col min="10252" max="10495" width="9.109375" style="62"/>
    <col min="10496" max="10496" width="22.33203125" style="62" customWidth="1"/>
    <col min="10497" max="10497" width="19" style="62" customWidth="1"/>
    <col min="10498" max="10500" width="12.6640625" style="62" customWidth="1"/>
    <col min="10501" max="10501" width="17.88671875" style="62" customWidth="1"/>
    <col min="10502" max="10502" width="12.6640625" style="62" customWidth="1"/>
    <col min="10503" max="10506" width="9.109375" style="62"/>
    <col min="10507" max="10507" width="11.33203125" style="62" customWidth="1"/>
    <col min="10508" max="10751" width="9.109375" style="62"/>
    <col min="10752" max="10752" width="22.33203125" style="62" customWidth="1"/>
    <col min="10753" max="10753" width="19" style="62" customWidth="1"/>
    <col min="10754" max="10756" width="12.6640625" style="62" customWidth="1"/>
    <col min="10757" max="10757" width="17.88671875" style="62" customWidth="1"/>
    <col min="10758" max="10758" width="12.6640625" style="62" customWidth="1"/>
    <col min="10759" max="10762" width="9.109375" style="62"/>
    <col min="10763" max="10763" width="11.33203125" style="62" customWidth="1"/>
    <col min="10764" max="11007" width="9.109375" style="62"/>
    <col min="11008" max="11008" width="22.33203125" style="62" customWidth="1"/>
    <col min="11009" max="11009" width="19" style="62" customWidth="1"/>
    <col min="11010" max="11012" width="12.6640625" style="62" customWidth="1"/>
    <col min="11013" max="11013" width="17.88671875" style="62" customWidth="1"/>
    <col min="11014" max="11014" width="12.6640625" style="62" customWidth="1"/>
    <col min="11015" max="11018" width="9.109375" style="62"/>
    <col min="11019" max="11019" width="11.33203125" style="62" customWidth="1"/>
    <col min="11020" max="11263" width="9.109375" style="62"/>
    <col min="11264" max="11264" width="22.33203125" style="62" customWidth="1"/>
    <col min="11265" max="11265" width="19" style="62" customWidth="1"/>
    <col min="11266" max="11268" width="12.6640625" style="62" customWidth="1"/>
    <col min="11269" max="11269" width="17.88671875" style="62" customWidth="1"/>
    <col min="11270" max="11270" width="12.6640625" style="62" customWidth="1"/>
    <col min="11271" max="11274" width="9.109375" style="62"/>
    <col min="11275" max="11275" width="11.33203125" style="62" customWidth="1"/>
    <col min="11276" max="11519" width="9.109375" style="62"/>
    <col min="11520" max="11520" width="22.33203125" style="62" customWidth="1"/>
    <col min="11521" max="11521" width="19" style="62" customWidth="1"/>
    <col min="11522" max="11524" width="12.6640625" style="62" customWidth="1"/>
    <col min="11525" max="11525" width="17.88671875" style="62" customWidth="1"/>
    <col min="11526" max="11526" width="12.6640625" style="62" customWidth="1"/>
    <col min="11527" max="11530" width="9.109375" style="62"/>
    <col min="11531" max="11531" width="11.33203125" style="62" customWidth="1"/>
    <col min="11532" max="11775" width="9.109375" style="62"/>
    <col min="11776" max="11776" width="22.33203125" style="62" customWidth="1"/>
    <col min="11777" max="11777" width="19" style="62" customWidth="1"/>
    <col min="11778" max="11780" width="12.6640625" style="62" customWidth="1"/>
    <col min="11781" max="11781" width="17.88671875" style="62" customWidth="1"/>
    <col min="11782" max="11782" width="12.6640625" style="62" customWidth="1"/>
    <col min="11783" max="11786" width="9.109375" style="62"/>
    <col min="11787" max="11787" width="11.33203125" style="62" customWidth="1"/>
    <col min="11788" max="12031" width="9.109375" style="62"/>
    <col min="12032" max="12032" width="22.33203125" style="62" customWidth="1"/>
    <col min="12033" max="12033" width="19" style="62" customWidth="1"/>
    <col min="12034" max="12036" width="12.6640625" style="62" customWidth="1"/>
    <col min="12037" max="12037" width="17.88671875" style="62" customWidth="1"/>
    <col min="12038" max="12038" width="12.6640625" style="62" customWidth="1"/>
    <col min="12039" max="12042" width="9.109375" style="62"/>
    <col min="12043" max="12043" width="11.33203125" style="62" customWidth="1"/>
    <col min="12044" max="12287" width="9.109375" style="62"/>
    <col min="12288" max="12288" width="22.33203125" style="62" customWidth="1"/>
    <col min="12289" max="12289" width="19" style="62" customWidth="1"/>
    <col min="12290" max="12292" width="12.6640625" style="62" customWidth="1"/>
    <col min="12293" max="12293" width="17.88671875" style="62" customWidth="1"/>
    <col min="12294" max="12294" width="12.6640625" style="62" customWidth="1"/>
    <col min="12295" max="12298" width="9.109375" style="62"/>
    <col min="12299" max="12299" width="11.33203125" style="62" customWidth="1"/>
    <col min="12300" max="12543" width="9.109375" style="62"/>
    <col min="12544" max="12544" width="22.33203125" style="62" customWidth="1"/>
    <col min="12545" max="12545" width="19" style="62" customWidth="1"/>
    <col min="12546" max="12548" width="12.6640625" style="62" customWidth="1"/>
    <col min="12549" max="12549" width="17.88671875" style="62" customWidth="1"/>
    <col min="12550" max="12550" width="12.6640625" style="62" customWidth="1"/>
    <col min="12551" max="12554" width="9.109375" style="62"/>
    <col min="12555" max="12555" width="11.33203125" style="62" customWidth="1"/>
    <col min="12556" max="12799" width="9.109375" style="62"/>
    <col min="12800" max="12800" width="22.33203125" style="62" customWidth="1"/>
    <col min="12801" max="12801" width="19" style="62" customWidth="1"/>
    <col min="12802" max="12804" width="12.6640625" style="62" customWidth="1"/>
    <col min="12805" max="12805" width="17.88671875" style="62" customWidth="1"/>
    <col min="12806" max="12806" width="12.6640625" style="62" customWidth="1"/>
    <col min="12807" max="12810" width="9.109375" style="62"/>
    <col min="12811" max="12811" width="11.33203125" style="62" customWidth="1"/>
    <col min="12812" max="13055" width="9.109375" style="62"/>
    <col min="13056" max="13056" width="22.33203125" style="62" customWidth="1"/>
    <col min="13057" max="13057" width="19" style="62" customWidth="1"/>
    <col min="13058" max="13060" width="12.6640625" style="62" customWidth="1"/>
    <col min="13061" max="13061" width="17.88671875" style="62" customWidth="1"/>
    <col min="13062" max="13062" width="12.6640625" style="62" customWidth="1"/>
    <col min="13063" max="13066" width="9.109375" style="62"/>
    <col min="13067" max="13067" width="11.33203125" style="62" customWidth="1"/>
    <col min="13068" max="13311" width="9.109375" style="62"/>
    <col min="13312" max="13312" width="22.33203125" style="62" customWidth="1"/>
    <col min="13313" max="13313" width="19" style="62" customWidth="1"/>
    <col min="13314" max="13316" width="12.6640625" style="62" customWidth="1"/>
    <col min="13317" max="13317" width="17.88671875" style="62" customWidth="1"/>
    <col min="13318" max="13318" width="12.6640625" style="62" customWidth="1"/>
    <col min="13319" max="13322" width="9.109375" style="62"/>
    <col min="13323" max="13323" width="11.33203125" style="62" customWidth="1"/>
    <col min="13324" max="13567" width="9.109375" style="62"/>
    <col min="13568" max="13568" width="22.33203125" style="62" customWidth="1"/>
    <col min="13569" max="13569" width="19" style="62" customWidth="1"/>
    <col min="13570" max="13572" width="12.6640625" style="62" customWidth="1"/>
    <col min="13573" max="13573" width="17.88671875" style="62" customWidth="1"/>
    <col min="13574" max="13574" width="12.6640625" style="62" customWidth="1"/>
    <col min="13575" max="13578" width="9.109375" style="62"/>
    <col min="13579" max="13579" width="11.33203125" style="62" customWidth="1"/>
    <col min="13580" max="13823" width="9.109375" style="62"/>
    <col min="13824" max="13824" width="22.33203125" style="62" customWidth="1"/>
    <col min="13825" max="13825" width="19" style="62" customWidth="1"/>
    <col min="13826" max="13828" width="12.6640625" style="62" customWidth="1"/>
    <col min="13829" max="13829" width="17.88671875" style="62" customWidth="1"/>
    <col min="13830" max="13830" width="12.6640625" style="62" customWidth="1"/>
    <col min="13831" max="13834" width="9.109375" style="62"/>
    <col min="13835" max="13835" width="11.33203125" style="62" customWidth="1"/>
    <col min="13836" max="14079" width="9.109375" style="62"/>
    <col min="14080" max="14080" width="22.33203125" style="62" customWidth="1"/>
    <col min="14081" max="14081" width="19" style="62" customWidth="1"/>
    <col min="14082" max="14084" width="12.6640625" style="62" customWidth="1"/>
    <col min="14085" max="14085" width="17.88671875" style="62" customWidth="1"/>
    <col min="14086" max="14086" width="12.6640625" style="62" customWidth="1"/>
    <col min="14087" max="14090" width="9.109375" style="62"/>
    <col min="14091" max="14091" width="11.33203125" style="62" customWidth="1"/>
    <col min="14092" max="14335" width="9.109375" style="62"/>
    <col min="14336" max="14336" width="22.33203125" style="62" customWidth="1"/>
    <col min="14337" max="14337" width="19" style="62" customWidth="1"/>
    <col min="14338" max="14340" width="12.6640625" style="62" customWidth="1"/>
    <col min="14341" max="14341" width="17.88671875" style="62" customWidth="1"/>
    <col min="14342" max="14342" width="12.6640625" style="62" customWidth="1"/>
    <col min="14343" max="14346" width="9.109375" style="62"/>
    <col min="14347" max="14347" width="11.33203125" style="62" customWidth="1"/>
    <col min="14348" max="14591" width="9.109375" style="62"/>
    <col min="14592" max="14592" width="22.33203125" style="62" customWidth="1"/>
    <col min="14593" max="14593" width="19" style="62" customWidth="1"/>
    <col min="14594" max="14596" width="12.6640625" style="62" customWidth="1"/>
    <col min="14597" max="14597" width="17.88671875" style="62" customWidth="1"/>
    <col min="14598" max="14598" width="12.6640625" style="62" customWidth="1"/>
    <col min="14599" max="14602" width="9.109375" style="62"/>
    <col min="14603" max="14603" width="11.33203125" style="62" customWidth="1"/>
    <col min="14604" max="14847" width="9.109375" style="62"/>
    <col min="14848" max="14848" width="22.33203125" style="62" customWidth="1"/>
    <col min="14849" max="14849" width="19" style="62" customWidth="1"/>
    <col min="14850" max="14852" width="12.6640625" style="62" customWidth="1"/>
    <col min="14853" max="14853" width="17.88671875" style="62" customWidth="1"/>
    <col min="14854" max="14854" width="12.6640625" style="62" customWidth="1"/>
    <col min="14855" max="14858" width="9.109375" style="62"/>
    <col min="14859" max="14859" width="11.33203125" style="62" customWidth="1"/>
    <col min="14860" max="15103" width="9.109375" style="62"/>
    <col min="15104" max="15104" width="22.33203125" style="62" customWidth="1"/>
    <col min="15105" max="15105" width="19" style="62" customWidth="1"/>
    <col min="15106" max="15108" width="12.6640625" style="62" customWidth="1"/>
    <col min="15109" max="15109" width="17.88671875" style="62" customWidth="1"/>
    <col min="15110" max="15110" width="12.6640625" style="62" customWidth="1"/>
    <col min="15111" max="15114" width="9.109375" style="62"/>
    <col min="15115" max="15115" width="11.33203125" style="62" customWidth="1"/>
    <col min="15116" max="15359" width="9.109375" style="62"/>
    <col min="15360" max="15360" width="22.33203125" style="62" customWidth="1"/>
    <col min="15361" max="15361" width="19" style="62" customWidth="1"/>
    <col min="15362" max="15364" width="12.6640625" style="62" customWidth="1"/>
    <col min="15365" max="15365" width="17.88671875" style="62" customWidth="1"/>
    <col min="15366" max="15366" width="12.6640625" style="62" customWidth="1"/>
    <col min="15367" max="15370" width="9.109375" style="62"/>
    <col min="15371" max="15371" width="11.33203125" style="62" customWidth="1"/>
    <col min="15372" max="15615" width="9.109375" style="62"/>
    <col min="15616" max="15616" width="22.33203125" style="62" customWidth="1"/>
    <col min="15617" max="15617" width="19" style="62" customWidth="1"/>
    <col min="15618" max="15620" width="12.6640625" style="62" customWidth="1"/>
    <col min="15621" max="15621" width="17.88671875" style="62" customWidth="1"/>
    <col min="15622" max="15622" width="12.6640625" style="62" customWidth="1"/>
    <col min="15623" max="15626" width="9.109375" style="62"/>
    <col min="15627" max="15627" width="11.33203125" style="62" customWidth="1"/>
    <col min="15628" max="15871" width="9.109375" style="62"/>
    <col min="15872" max="15872" width="22.33203125" style="62" customWidth="1"/>
    <col min="15873" max="15873" width="19" style="62" customWidth="1"/>
    <col min="15874" max="15876" width="12.6640625" style="62" customWidth="1"/>
    <col min="15877" max="15877" width="17.88671875" style="62" customWidth="1"/>
    <col min="15878" max="15878" width="12.6640625" style="62" customWidth="1"/>
    <col min="15879" max="15882" width="9.109375" style="62"/>
    <col min="15883" max="15883" width="11.33203125" style="62" customWidth="1"/>
    <col min="15884" max="16127" width="9.109375" style="62"/>
    <col min="16128" max="16128" width="22.33203125" style="62" customWidth="1"/>
    <col min="16129" max="16129" width="19" style="62" customWidth="1"/>
    <col min="16130" max="16132" width="12.6640625" style="62" customWidth="1"/>
    <col min="16133" max="16133" width="17.88671875" style="62" customWidth="1"/>
    <col min="16134" max="16134" width="12.6640625" style="62" customWidth="1"/>
    <col min="16135" max="16138" width="9.109375" style="62"/>
    <col min="16139" max="16139" width="11.33203125" style="62" customWidth="1"/>
    <col min="16140" max="16382" width="9.109375" style="62"/>
    <col min="16383" max="16384" width="9.109375" style="62" customWidth="1"/>
  </cols>
  <sheetData>
    <row r="1" spans="1:13" s="21" customFormat="1" ht="19.95" customHeight="1">
      <c r="A1" s="521" t="s">
        <v>152</v>
      </c>
      <c r="B1" s="521"/>
      <c r="C1" s="521"/>
      <c r="D1" s="521"/>
      <c r="E1" s="521"/>
      <c r="F1" s="521"/>
      <c r="G1" s="20"/>
    </row>
    <row r="2" spans="1:13" s="21" customFormat="1" ht="19.95" customHeight="1" thickBot="1">
      <c r="A2" s="522" t="s">
        <v>1146</v>
      </c>
      <c r="B2" s="522"/>
      <c r="C2" s="522"/>
      <c r="D2" s="522"/>
      <c r="E2" s="522"/>
      <c r="F2" s="522"/>
      <c r="G2" s="20"/>
    </row>
    <row r="3" spans="1:13" s="21" customFormat="1" ht="91.5" customHeight="1" thickBot="1">
      <c r="A3" s="26" t="s">
        <v>153</v>
      </c>
      <c r="B3" s="27" t="s">
        <v>154</v>
      </c>
      <c r="C3" s="28" t="s">
        <v>155</v>
      </c>
      <c r="D3" s="28" t="s">
        <v>156</v>
      </c>
      <c r="E3" s="28" t="s">
        <v>157</v>
      </c>
      <c r="F3" s="29" t="s">
        <v>158</v>
      </c>
      <c r="G3" s="30"/>
      <c r="H3" s="31" t="s">
        <v>11</v>
      </c>
      <c r="I3" s="339" t="s">
        <v>160</v>
      </c>
      <c r="J3" s="339" t="s">
        <v>1065</v>
      </c>
      <c r="K3" s="33" t="s">
        <v>161</v>
      </c>
      <c r="L3" s="33" t="s">
        <v>162</v>
      </c>
      <c r="M3" s="33" t="s">
        <v>163</v>
      </c>
    </row>
    <row r="4" spans="1:13" s="21" customFormat="1" ht="15.9" customHeight="1">
      <c r="A4" s="514" t="s">
        <v>1143</v>
      </c>
      <c r="B4" s="35">
        <f t="shared" ref="B4:B11" si="0">+CEILING(H4+I4+J4,5)</f>
        <v>270995</v>
      </c>
      <c r="C4" s="36">
        <f>+K4</f>
        <v>7000</v>
      </c>
      <c r="D4" s="37">
        <f>+CEILING('Fast Key'!BH13*Shepparton!L4,5)</f>
        <v>5900</v>
      </c>
      <c r="E4" s="37">
        <f>+CEILING('Fast Key'!BK13*Shepparton!M4,5)</f>
        <v>3010</v>
      </c>
      <c r="F4" s="38">
        <f>SUM(B4:E4)</f>
        <v>286905</v>
      </c>
      <c r="G4" s="20"/>
      <c r="H4" s="39">
        <f>+'Fast Key'!BB13</f>
        <v>270995</v>
      </c>
      <c r="I4" s="340">
        <f>+'Fast Key'!BB6</f>
        <v>0</v>
      </c>
      <c r="J4" s="340">
        <f>+'Fast Key'!BD13</f>
        <v>0</v>
      </c>
      <c r="K4" s="21">
        <f>+'Fast Key'!BB3</f>
        <v>7000</v>
      </c>
      <c r="L4" s="41">
        <f>+'Fast Key'!BB4</f>
        <v>96</v>
      </c>
      <c r="M4" s="21">
        <f>+'Fast Key'!BB5</f>
        <v>55</v>
      </c>
    </row>
    <row r="5" spans="1:13" s="21" customFormat="1" ht="15.9" customHeight="1">
      <c r="A5" s="514" t="s">
        <v>1144</v>
      </c>
      <c r="B5" s="35">
        <f t="shared" si="0"/>
        <v>289755</v>
      </c>
      <c r="C5" s="43">
        <f t="shared" ref="C5:C15" si="1">+K5</f>
        <v>7000</v>
      </c>
      <c r="D5" s="37">
        <f>+CEILING('Fast Key'!BH14*Shepparton!L5,5)</f>
        <v>7005</v>
      </c>
      <c r="E5" s="37">
        <f>+CEILING('Fast Key'!BK14*Shepparton!M5,5)</f>
        <v>3715</v>
      </c>
      <c r="F5" s="38">
        <f t="shared" ref="F5:F15" si="2">SUM(B5:E5)</f>
        <v>307475</v>
      </c>
      <c r="G5" s="20"/>
      <c r="H5" s="39">
        <f>+'Fast Key'!BB14</f>
        <v>289755</v>
      </c>
      <c r="I5" s="340">
        <f t="shared" ref="I5:I13" si="3">+I4</f>
        <v>0</v>
      </c>
      <c r="J5" s="340">
        <f>+'Fast Key'!BD14</f>
        <v>0</v>
      </c>
      <c r="K5" s="21">
        <f t="shared" ref="K5:M13" si="4">+K4</f>
        <v>7000</v>
      </c>
      <c r="L5" s="21">
        <f t="shared" si="4"/>
        <v>96</v>
      </c>
      <c r="M5" s="21">
        <f t="shared" si="4"/>
        <v>55</v>
      </c>
    </row>
    <row r="6" spans="1:13" s="21" customFormat="1" ht="15.9" customHeight="1">
      <c r="A6" s="514" t="s">
        <v>1145</v>
      </c>
      <c r="B6" s="35">
        <f t="shared" si="0"/>
        <v>294955</v>
      </c>
      <c r="C6" s="43">
        <f t="shared" si="1"/>
        <v>7000</v>
      </c>
      <c r="D6" s="37">
        <f>+CEILING('Fast Key'!BH15*Shepparton!L6,5)</f>
        <v>7410</v>
      </c>
      <c r="E6" s="37">
        <f>+CEILING('Fast Key'!BK15*Shepparton!M6,5)</f>
        <v>3680</v>
      </c>
      <c r="F6" s="38">
        <f t="shared" si="2"/>
        <v>313045</v>
      </c>
      <c r="G6" s="20"/>
      <c r="H6" s="39">
        <f>+'Fast Key'!BB15</f>
        <v>294955</v>
      </c>
      <c r="I6" s="340">
        <f t="shared" si="3"/>
        <v>0</v>
      </c>
      <c r="J6" s="340">
        <f>+'Fast Key'!BD15</f>
        <v>0</v>
      </c>
      <c r="K6" s="21">
        <f t="shared" si="4"/>
        <v>7000</v>
      </c>
      <c r="L6" s="21">
        <f t="shared" si="4"/>
        <v>96</v>
      </c>
      <c r="M6" s="21">
        <f t="shared" si="4"/>
        <v>55</v>
      </c>
    </row>
    <row r="7" spans="1:13" s="21" customFormat="1" ht="15.9" customHeight="1">
      <c r="A7" s="514" t="s">
        <v>1201</v>
      </c>
      <c r="B7" s="35">
        <f t="shared" si="0"/>
        <v>253005</v>
      </c>
      <c r="C7" s="43">
        <f t="shared" si="1"/>
        <v>7000</v>
      </c>
      <c r="D7" s="37">
        <f>+CEILING('Fast Key'!BH16*Shepparton!L7,5)</f>
        <v>5470</v>
      </c>
      <c r="E7" s="37">
        <f>+CEILING('Fast Key'!BK16*Shepparton!M7,5)</f>
        <v>2295</v>
      </c>
      <c r="F7" s="38">
        <f t="shared" si="2"/>
        <v>267770</v>
      </c>
      <c r="G7" s="20"/>
      <c r="H7" s="39">
        <f>+'Fast Key'!BB16</f>
        <v>253005</v>
      </c>
      <c r="I7" s="340">
        <f t="shared" si="3"/>
        <v>0</v>
      </c>
      <c r="J7" s="340">
        <f>+'Fast Key'!BD16</f>
        <v>0</v>
      </c>
      <c r="K7" s="21">
        <f t="shared" si="4"/>
        <v>7000</v>
      </c>
      <c r="L7" s="21">
        <f t="shared" si="4"/>
        <v>96</v>
      </c>
      <c r="M7" s="21">
        <f t="shared" si="4"/>
        <v>55</v>
      </c>
    </row>
    <row r="8" spans="1:13" s="21" customFormat="1" ht="15.9" customHeight="1">
      <c r="A8" s="514" t="s">
        <v>1202</v>
      </c>
      <c r="B8" s="35">
        <f t="shared" si="0"/>
        <v>276490</v>
      </c>
      <c r="C8" s="43">
        <f t="shared" si="1"/>
        <v>7000</v>
      </c>
      <c r="D8" s="37">
        <f>+CEILING('Fast Key'!BH17*Shepparton!L8,5)</f>
        <v>5865</v>
      </c>
      <c r="E8" s="37">
        <f>+CEILING('Fast Key'!BK17*Shepparton!M8,5)</f>
        <v>3715</v>
      </c>
      <c r="F8" s="38">
        <f t="shared" si="2"/>
        <v>293070</v>
      </c>
      <c r="G8" s="20"/>
      <c r="H8" s="39">
        <f>+'Fast Key'!BB17</f>
        <v>276490</v>
      </c>
      <c r="I8" s="340">
        <f t="shared" si="3"/>
        <v>0</v>
      </c>
      <c r="J8" s="340">
        <f>+'Fast Key'!BD17</f>
        <v>0</v>
      </c>
      <c r="K8" s="21">
        <f t="shared" si="4"/>
        <v>7000</v>
      </c>
      <c r="L8" s="21">
        <f t="shared" si="4"/>
        <v>96</v>
      </c>
      <c r="M8" s="21">
        <f t="shared" si="4"/>
        <v>55</v>
      </c>
    </row>
    <row r="9" spans="1:13" s="21" customFormat="1" ht="15.9" customHeight="1">
      <c r="A9" s="514" t="s">
        <v>1211</v>
      </c>
      <c r="B9" s="35">
        <f t="shared" si="0"/>
        <v>282770</v>
      </c>
      <c r="C9" s="43">
        <f t="shared" si="1"/>
        <v>7000</v>
      </c>
      <c r="D9" s="37">
        <f>+CEILING('Fast Key'!BH18*Shepparton!L9,5)</f>
        <v>5590</v>
      </c>
      <c r="E9" s="37">
        <f>+CEILING('Fast Key'!BK18*Shepparton!M9,5)</f>
        <v>3875</v>
      </c>
      <c r="F9" s="38">
        <f t="shared" si="2"/>
        <v>299235</v>
      </c>
      <c r="G9" s="20"/>
      <c r="H9" s="39">
        <f>+'Fast Key'!BB18</f>
        <v>282770</v>
      </c>
      <c r="I9" s="340">
        <f t="shared" si="3"/>
        <v>0</v>
      </c>
      <c r="J9" s="340">
        <f>+'Fast Key'!BD18</f>
        <v>0</v>
      </c>
      <c r="K9" s="21">
        <f t="shared" si="4"/>
        <v>7000</v>
      </c>
      <c r="L9" s="21">
        <f t="shared" si="4"/>
        <v>96</v>
      </c>
      <c r="M9" s="21">
        <f t="shared" si="4"/>
        <v>55</v>
      </c>
    </row>
    <row r="10" spans="1:13" s="21" customFormat="1" ht="15.9" customHeight="1">
      <c r="A10" s="514" t="s">
        <v>1212</v>
      </c>
      <c r="B10" s="35">
        <f t="shared" si="0"/>
        <v>304150</v>
      </c>
      <c r="C10" s="43">
        <f t="shared" si="1"/>
        <v>7000</v>
      </c>
      <c r="D10" s="37">
        <f>+CEILING('Fast Key'!BH19*Shepparton!L10,5)</f>
        <v>7320</v>
      </c>
      <c r="E10" s="37">
        <f>+CEILING('Fast Key'!BK19*Shepparton!M10,5)</f>
        <v>4435</v>
      </c>
      <c r="F10" s="38">
        <f t="shared" si="2"/>
        <v>322905</v>
      </c>
      <c r="G10" s="20"/>
      <c r="H10" s="39">
        <f>+'Fast Key'!BB19</f>
        <v>304150</v>
      </c>
      <c r="I10" s="340">
        <f>+I9</f>
        <v>0</v>
      </c>
      <c r="J10" s="340">
        <f>+'Fast Key'!BD19</f>
        <v>0</v>
      </c>
      <c r="K10" s="21">
        <f>+K9</f>
        <v>7000</v>
      </c>
      <c r="L10" s="21">
        <f>+L9</f>
        <v>96</v>
      </c>
      <c r="M10" s="21">
        <f>+M9</f>
        <v>55</v>
      </c>
    </row>
    <row r="11" spans="1:13" s="21" customFormat="1" ht="15.9" customHeight="1">
      <c r="A11" s="514" t="s">
        <v>1213</v>
      </c>
      <c r="B11" s="35">
        <f t="shared" si="0"/>
        <v>332790</v>
      </c>
      <c r="C11" s="43">
        <f t="shared" ref="C11:C12" si="5">+K11</f>
        <v>7000</v>
      </c>
      <c r="D11" s="37">
        <f>+CEILING('Fast Key'!BH20*Shepparton!L11,5)</f>
        <v>7185</v>
      </c>
      <c r="E11" s="37">
        <f>+CEILING('Fast Key'!BK20*Shepparton!M11,5)</f>
        <v>5395</v>
      </c>
      <c r="F11" s="38">
        <f t="shared" ref="F11:F12" si="6">SUM(B11:E11)</f>
        <v>352370</v>
      </c>
      <c r="G11" s="20"/>
      <c r="H11" s="39">
        <f>+'Fast Key'!BB20</f>
        <v>332790</v>
      </c>
      <c r="I11" s="340">
        <f t="shared" ref="I11" si="7">+I10</f>
        <v>0</v>
      </c>
      <c r="J11" s="340">
        <f>+'Fast Key'!BD20</f>
        <v>0</v>
      </c>
      <c r="K11" s="21">
        <f t="shared" ref="K11:M11" si="8">+K10</f>
        <v>7000</v>
      </c>
      <c r="L11" s="21">
        <f t="shared" si="8"/>
        <v>96</v>
      </c>
      <c r="M11" s="21">
        <f t="shared" si="8"/>
        <v>55</v>
      </c>
    </row>
    <row r="12" spans="1:13" s="21" customFormat="1" ht="15.9" customHeight="1">
      <c r="A12" s="42"/>
      <c r="B12" s="35">
        <f t="shared" ref="B12" si="9">+CEILING(H12+I12+J12,10)</f>
        <v>0</v>
      </c>
      <c r="C12" s="43">
        <f t="shared" si="5"/>
        <v>7000</v>
      </c>
      <c r="D12" s="37">
        <f>+CEILING('Fast Key'!BH21*Shepparton!L12,5)</f>
        <v>0</v>
      </c>
      <c r="E12" s="37">
        <f>+CEILING('Fast Key'!BK21*Shepparton!M12,5)</f>
        <v>0</v>
      </c>
      <c r="F12" s="38">
        <f t="shared" si="6"/>
        <v>7000</v>
      </c>
      <c r="G12" s="20"/>
      <c r="H12" s="39">
        <f>+'Fast Key'!BB21</f>
        <v>0</v>
      </c>
      <c r="I12" s="340">
        <f t="shared" ref="I12" si="10">+I11</f>
        <v>0</v>
      </c>
      <c r="J12" s="340">
        <f>+'Fast Key'!BD21</f>
        <v>0</v>
      </c>
      <c r="K12" s="21">
        <f t="shared" ref="K12:M12" si="11">+K11</f>
        <v>7000</v>
      </c>
      <c r="L12" s="21">
        <f t="shared" si="11"/>
        <v>96</v>
      </c>
      <c r="M12" s="21">
        <f t="shared" si="11"/>
        <v>55</v>
      </c>
    </row>
    <row r="13" spans="1:13" s="21" customFormat="1" ht="15.9" customHeight="1">
      <c r="A13" s="42"/>
      <c r="B13" s="35">
        <f t="shared" ref="B13:B16" si="12">+CEILING(H13+I13+J13,10)</f>
        <v>0</v>
      </c>
      <c r="C13" s="43">
        <f t="shared" si="1"/>
        <v>7000</v>
      </c>
      <c r="D13" s="37">
        <f>+CEILING('Fast Key'!BH22*Shepparton!L13,5)</f>
        <v>0</v>
      </c>
      <c r="E13" s="37">
        <f>+CEILING('Fast Key'!BK22*Shepparton!M13,5)</f>
        <v>0</v>
      </c>
      <c r="F13" s="38">
        <f t="shared" si="2"/>
        <v>7000</v>
      </c>
      <c r="G13" s="20"/>
      <c r="H13" s="39">
        <f>+'Fast Key'!BB22</f>
        <v>0</v>
      </c>
      <c r="I13" s="340">
        <f t="shared" si="3"/>
        <v>0</v>
      </c>
      <c r="J13" s="340">
        <f>+'Fast Key'!BD22</f>
        <v>0</v>
      </c>
      <c r="K13" s="21">
        <f t="shared" si="4"/>
        <v>7000</v>
      </c>
      <c r="L13" s="21">
        <f t="shared" si="4"/>
        <v>96</v>
      </c>
      <c r="M13" s="21">
        <f t="shared" si="4"/>
        <v>55</v>
      </c>
    </row>
    <row r="14" spans="1:13" s="21" customFormat="1" ht="15.9" customHeight="1">
      <c r="A14" s="42"/>
      <c r="B14" s="35">
        <f t="shared" si="12"/>
        <v>0</v>
      </c>
      <c r="C14" s="43">
        <f t="shared" ref="C14" si="13">+K14</f>
        <v>7000</v>
      </c>
      <c r="D14" s="37">
        <f>+CEILING('Fast Key'!BH23*Shepparton!L14,5)</f>
        <v>0</v>
      </c>
      <c r="E14" s="37">
        <f>+CEILING('Fast Key'!BK23*Shepparton!M14,5)</f>
        <v>0</v>
      </c>
      <c r="F14" s="38">
        <f t="shared" ref="F14" si="14">SUM(B14:E14)</f>
        <v>7000</v>
      </c>
      <c r="G14" s="20"/>
      <c r="H14" s="39">
        <f>+'Fast Key'!BB23</f>
        <v>0</v>
      </c>
      <c r="I14" s="340">
        <f t="shared" ref="I14:M14" si="15">+I13</f>
        <v>0</v>
      </c>
      <c r="J14" s="340">
        <f>+'Fast Key'!BD23</f>
        <v>0</v>
      </c>
      <c r="K14" s="21">
        <f t="shared" si="15"/>
        <v>7000</v>
      </c>
      <c r="L14" s="21">
        <f t="shared" si="15"/>
        <v>96</v>
      </c>
      <c r="M14" s="21">
        <f t="shared" si="15"/>
        <v>55</v>
      </c>
    </row>
    <row r="15" spans="1:13" s="21" customFormat="1" ht="15.9" customHeight="1">
      <c r="A15" s="42"/>
      <c r="B15" s="35">
        <f t="shared" si="12"/>
        <v>0</v>
      </c>
      <c r="C15" s="43">
        <f t="shared" si="1"/>
        <v>7000</v>
      </c>
      <c r="D15" s="37">
        <f>+CEILING('Fast Key'!BH24*Shepparton!L15,5)</f>
        <v>0</v>
      </c>
      <c r="E15" s="37">
        <f>+CEILING('Fast Key'!BK24*Shepparton!M15,5)</f>
        <v>0</v>
      </c>
      <c r="F15" s="38">
        <f t="shared" si="2"/>
        <v>7000</v>
      </c>
      <c r="G15" s="20"/>
      <c r="H15" s="39">
        <f>+'Fast Key'!BB24</f>
        <v>0</v>
      </c>
      <c r="I15" s="340">
        <f t="shared" ref="I15:M16" si="16">+I14</f>
        <v>0</v>
      </c>
      <c r="J15" s="340">
        <f>+'Fast Key'!BD24</f>
        <v>0</v>
      </c>
      <c r="K15" s="21">
        <f t="shared" si="16"/>
        <v>7000</v>
      </c>
      <c r="L15" s="21">
        <f t="shared" si="16"/>
        <v>96</v>
      </c>
      <c r="M15" s="21">
        <f t="shared" si="16"/>
        <v>55</v>
      </c>
    </row>
    <row r="16" spans="1:13" s="21" customFormat="1" ht="15.9" customHeight="1">
      <c r="A16" s="42"/>
      <c r="B16" s="35">
        <f t="shared" si="12"/>
        <v>0</v>
      </c>
      <c r="C16" s="43">
        <f t="shared" ref="C16" si="17">+K16</f>
        <v>7000</v>
      </c>
      <c r="D16" s="37">
        <f>+CEILING('Fast Key'!BH25*Shepparton!L16,5)</f>
        <v>0</v>
      </c>
      <c r="E16" s="37">
        <f>+CEILING('Fast Key'!BK25*Shepparton!M16,5)</f>
        <v>0</v>
      </c>
      <c r="F16" s="38">
        <f t="shared" ref="F16" si="18">SUM(B16:E16)</f>
        <v>7000</v>
      </c>
      <c r="G16" s="20"/>
      <c r="H16" s="39">
        <f>+'Fast Key'!BB25</f>
        <v>0</v>
      </c>
      <c r="I16" s="340">
        <f t="shared" si="16"/>
        <v>0</v>
      </c>
      <c r="J16" s="340">
        <f>+'Fast Key'!BD25</f>
        <v>0</v>
      </c>
      <c r="K16" s="21">
        <f t="shared" si="16"/>
        <v>7000</v>
      </c>
      <c r="L16" s="21">
        <f t="shared" si="16"/>
        <v>96</v>
      </c>
      <c r="M16" s="21">
        <f t="shared" si="16"/>
        <v>55</v>
      </c>
    </row>
    <row r="17" spans="1:11" s="21" customFormat="1" ht="5.25" customHeight="1" thickBot="1">
      <c r="C17" s="44"/>
      <c r="D17" s="44"/>
      <c r="E17" s="44"/>
      <c r="F17" s="45"/>
      <c r="G17" s="20"/>
      <c r="K17" s="39"/>
    </row>
    <row r="18" spans="1:11" s="21" customFormat="1" ht="12" customHeight="1">
      <c r="A18" s="341" t="s">
        <v>165</v>
      </c>
      <c r="B18" s="342"/>
      <c r="C18" s="44"/>
      <c r="D18" s="44"/>
      <c r="E18" s="347" t="s">
        <v>166</v>
      </c>
      <c r="F18" s="348"/>
      <c r="G18" s="349"/>
      <c r="K18" s="39"/>
    </row>
    <row r="19" spans="1:11" s="21" customFormat="1" ht="12" customHeight="1">
      <c r="A19" s="343" t="s">
        <v>167</v>
      </c>
      <c r="B19" s="344"/>
      <c r="C19" s="44"/>
      <c r="D19" s="44"/>
      <c r="E19" s="350" t="s">
        <v>168</v>
      </c>
      <c r="F19" s="340"/>
      <c r="G19" s="349"/>
      <c r="K19" s="39"/>
    </row>
    <row r="20" spans="1:11" s="21" customFormat="1" ht="12" customHeight="1">
      <c r="A20" s="343" t="s">
        <v>169</v>
      </c>
      <c r="B20" s="344"/>
      <c r="C20" s="44"/>
      <c r="D20" s="44"/>
      <c r="E20" s="350" t="s">
        <v>170</v>
      </c>
      <c r="F20" s="340"/>
      <c r="G20" s="349"/>
      <c r="K20" s="39"/>
    </row>
    <row r="21" spans="1:11" s="21" customFormat="1" ht="12" customHeight="1">
      <c r="A21" s="343" t="s">
        <v>171</v>
      </c>
      <c r="B21" s="344"/>
      <c r="C21" s="44"/>
      <c r="D21" s="44"/>
      <c r="E21" s="350" t="s">
        <v>1069</v>
      </c>
      <c r="F21" s="340"/>
      <c r="G21" s="349"/>
      <c r="K21" s="39"/>
    </row>
    <row r="22" spans="1:11" s="21" customFormat="1" ht="12" customHeight="1">
      <c r="A22" s="343" t="s">
        <v>173</v>
      </c>
      <c r="B22" s="344"/>
      <c r="C22" s="44"/>
      <c r="D22" s="44"/>
      <c r="E22" s="350" t="s">
        <v>175</v>
      </c>
      <c r="F22" s="340"/>
      <c r="G22" s="349"/>
      <c r="K22" s="39"/>
    </row>
    <row r="23" spans="1:11" s="21" customFormat="1" ht="12" customHeight="1" thickBot="1">
      <c r="A23" s="345"/>
      <c r="B23" s="346"/>
      <c r="C23" s="44"/>
      <c r="D23" s="44"/>
      <c r="E23" s="351" t="s">
        <v>176</v>
      </c>
      <c r="F23" s="352"/>
      <c r="G23" s="349"/>
      <c r="K23" s="39"/>
    </row>
    <row r="24" spans="1:11">
      <c r="E24" s="63"/>
    </row>
    <row r="25" spans="1:11">
      <c r="E25" s="63"/>
    </row>
    <row r="26" spans="1:11">
      <c r="E26" s="63"/>
    </row>
    <row r="27" spans="1:11">
      <c r="E27" s="63"/>
    </row>
    <row r="28" spans="1:11">
      <c r="E28" s="63"/>
    </row>
    <row r="29" spans="1:11">
      <c r="E29" s="63"/>
    </row>
    <row r="30" spans="1:11">
      <c r="E30" s="63"/>
    </row>
    <row r="31" spans="1:11">
      <c r="E31" s="63"/>
    </row>
    <row r="32" spans="1:11">
      <c r="E32" s="63"/>
    </row>
    <row r="33" spans="5:5">
      <c r="E33" s="63"/>
    </row>
    <row r="34" spans="5:5">
      <c r="E34" s="63"/>
    </row>
    <row r="35" spans="5:5">
      <c r="E35" s="63"/>
    </row>
    <row r="36" spans="5:5">
      <c r="E36" s="63"/>
    </row>
    <row r="37" spans="5:5">
      <c r="E37" s="63"/>
    </row>
    <row r="38" spans="5:5">
      <c r="E38" s="63"/>
    </row>
    <row r="39" spans="5:5">
      <c r="E39" s="63"/>
    </row>
    <row r="40" spans="5:5">
      <c r="E40" s="63"/>
    </row>
    <row r="41" spans="5:5">
      <c r="E41" s="63"/>
    </row>
    <row r="42" spans="5:5">
      <c r="E42" s="63"/>
    </row>
    <row r="43" spans="5:5">
      <c r="E43" s="63"/>
    </row>
    <row r="44" spans="5:5">
      <c r="E44" s="63"/>
    </row>
    <row r="45" spans="5:5">
      <c r="E45" s="63"/>
    </row>
    <row r="46" spans="5:5">
      <c r="E46" s="63"/>
    </row>
    <row r="47" spans="5:5">
      <c r="E47" s="63"/>
    </row>
    <row r="48" spans="5:5">
      <c r="E48" s="63"/>
    </row>
    <row r="49" spans="5:5">
      <c r="E49" s="63"/>
    </row>
    <row r="50" spans="5:5">
      <c r="E50" s="63"/>
    </row>
    <row r="51" spans="5:5">
      <c r="E51" s="63"/>
    </row>
    <row r="52" spans="5:5">
      <c r="E52" s="63"/>
    </row>
    <row r="53" spans="5:5">
      <c r="E53" s="63"/>
    </row>
    <row r="54" spans="5:5">
      <c r="E54" s="63"/>
    </row>
    <row r="55" spans="5:5">
      <c r="E55" s="63"/>
    </row>
  </sheetData>
  <sheetProtection selectLockedCells="1" selectUnlockedCells="1"/>
  <mergeCells count="2">
    <mergeCell ref="A1:F1"/>
    <mergeCell ref="A2:F2"/>
  </mergeCells>
  <phoneticPr fontId="46" type="noConversion"/>
  <pageMargins left="0.70866141732283472" right="0.70866141732283472" top="0.59055118110236227" bottom="0.15748031496062992" header="0.31496062992125984" footer="0.31496062992125984"/>
  <pageSetup paperSize="9" scale="90" fitToHeight="0" orientation="portrait" horizontalDpi="1200" r:id="rId1"/>
  <headerFooter>
    <oddHeader>&amp;LCAVALIER HOMES GOULBURN VALLEY PTY. LTD.&amp;R&amp;G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8FEE-7044-4DE1-9536-B8793064BC1B}">
  <sheetPr codeName="Sheet24"/>
  <dimension ref="A1:Q17"/>
  <sheetViews>
    <sheetView zoomScaleNormal="100" workbookViewId="0">
      <selection activeCell="C14" sqref="C14"/>
    </sheetView>
  </sheetViews>
  <sheetFormatPr defaultRowHeight="14.4"/>
  <cols>
    <col min="1" max="1" width="13.33203125" customWidth="1"/>
    <col min="3" max="3" width="11" bestFit="1" customWidth="1"/>
    <col min="11" max="11" width="12.109375" customWidth="1"/>
  </cols>
  <sheetData>
    <row r="1" spans="1:17" s="21" customFormat="1" ht="21.6" thickBot="1">
      <c r="A1" s="23" t="s">
        <v>1085</v>
      </c>
      <c r="B1" s="23"/>
      <c r="C1" s="23"/>
      <c r="D1" s="23"/>
      <c r="E1" s="23"/>
      <c r="I1" s="24"/>
      <c r="J1" s="523"/>
      <c r="K1" s="523"/>
      <c r="L1" s="69"/>
      <c r="M1" s="69"/>
    </row>
    <row r="2" spans="1:17" s="21" customFormat="1" ht="93" thickBot="1">
      <c r="A2" s="70" t="s">
        <v>153</v>
      </c>
      <c r="B2" s="71" t="s">
        <v>154</v>
      </c>
      <c r="C2" s="72" t="s">
        <v>177</v>
      </c>
      <c r="D2" s="73" t="s">
        <v>178</v>
      </c>
      <c r="E2" s="74" t="s">
        <v>179</v>
      </c>
      <c r="F2" s="73" t="s">
        <v>180</v>
      </c>
      <c r="G2" s="73" t="s">
        <v>181</v>
      </c>
      <c r="H2" s="73" t="s">
        <v>182</v>
      </c>
      <c r="I2" s="73" t="s">
        <v>183</v>
      </c>
      <c r="J2" s="73" t="s">
        <v>184</v>
      </c>
      <c r="K2" s="75" t="s">
        <v>185</v>
      </c>
      <c r="O2" s="33" t="s">
        <v>186</v>
      </c>
      <c r="P2" s="33" t="s">
        <v>187</v>
      </c>
      <c r="Q2" s="33" t="s">
        <v>188</v>
      </c>
    </row>
    <row r="3" spans="1:17" s="21" customFormat="1">
      <c r="A3" s="76" t="s">
        <v>1054</v>
      </c>
      <c r="B3" s="77">
        <f>+CEILING(N3+M3,10)</f>
        <v>6000</v>
      </c>
      <c r="C3" s="78">
        <f>+O3</f>
        <v>8400</v>
      </c>
      <c r="D3" s="79">
        <f>+CEILING('Fast Key'!BH144*Investor!P3,5)</f>
        <v>0</v>
      </c>
      <c r="E3" s="80">
        <f>+CEILING('Fast Key'!BK144*Investor!Q3,5)</f>
        <v>0</v>
      </c>
      <c r="F3" s="80">
        <f>9*195</f>
        <v>1755</v>
      </c>
      <c r="G3" s="80" t="e">
        <f>+#REF!</f>
        <v>#REF!</v>
      </c>
      <c r="H3" s="80" t="s">
        <v>189</v>
      </c>
      <c r="I3" s="80" t="e">
        <f>+#REF!</f>
        <v>#REF!</v>
      </c>
      <c r="J3" s="80" t="e">
        <f>+#REF!</f>
        <v>#REF!</v>
      </c>
      <c r="K3" s="81" t="e">
        <f>SUM(B3:J3)</f>
        <v>#REF!</v>
      </c>
      <c r="M3" s="21">
        <v>6000</v>
      </c>
      <c r="N3" s="82">
        <f>+'Fast Key'!BB144</f>
        <v>0</v>
      </c>
      <c r="O3" s="21">
        <f>60*140</f>
        <v>8400</v>
      </c>
      <c r="P3" s="39">
        <v>95</v>
      </c>
      <c r="Q3" s="83">
        <v>56</v>
      </c>
    </row>
    <row r="4" spans="1:17" s="21" customFormat="1">
      <c r="A4" s="84" t="s">
        <v>1055</v>
      </c>
      <c r="B4" s="77">
        <f>+CEILING(N4+M4,10)</f>
        <v>6000</v>
      </c>
      <c r="C4" s="78">
        <f>+O4</f>
        <v>8400</v>
      </c>
      <c r="D4" s="79">
        <f>+CEILING('Fast Key'!BH145*Investor!P4,5)</f>
        <v>0</v>
      </c>
      <c r="E4" s="80">
        <f>+CEILING('Fast Key'!BK145*Investor!Q4,5)</f>
        <v>0</v>
      </c>
      <c r="F4" s="86">
        <f>10*195</f>
        <v>1950</v>
      </c>
      <c r="G4" s="80" t="e">
        <f>+G3</f>
        <v>#REF!</v>
      </c>
      <c r="H4" s="86" t="s">
        <v>189</v>
      </c>
      <c r="I4" s="86" t="e">
        <f t="shared" ref="I4:J6" si="0">+I3</f>
        <v>#REF!</v>
      </c>
      <c r="J4" s="85" t="e">
        <f t="shared" si="0"/>
        <v>#REF!</v>
      </c>
      <c r="K4" s="87" t="e">
        <f>SUM(B4:J4)</f>
        <v>#REF!</v>
      </c>
      <c r="M4" s="21">
        <f>+M3</f>
        <v>6000</v>
      </c>
      <c r="N4" s="82">
        <f>+'Fast Key'!BB145</f>
        <v>0</v>
      </c>
      <c r="O4" s="21">
        <f t="shared" ref="O4:Q6" si="1">+O3</f>
        <v>8400</v>
      </c>
      <c r="P4" s="39">
        <f t="shared" si="1"/>
        <v>95</v>
      </c>
      <c r="Q4" s="39">
        <f t="shared" si="1"/>
        <v>56</v>
      </c>
    </row>
    <row r="5" spans="1:17" s="21" customFormat="1">
      <c r="A5" s="84" t="s">
        <v>1056</v>
      </c>
      <c r="B5" s="77">
        <f>+CEILING(N5+M5,10)</f>
        <v>6000</v>
      </c>
      <c r="C5" s="78">
        <f>+O5</f>
        <v>8400</v>
      </c>
      <c r="D5" s="79">
        <f>+CEILING('Fast Key'!BH146*Investor!P5,5)</f>
        <v>0</v>
      </c>
      <c r="E5" s="80">
        <f>+CEILING('Fast Key'!BK146*Investor!Q5,5)</f>
        <v>0</v>
      </c>
      <c r="F5" s="86">
        <f>11*195</f>
        <v>2145</v>
      </c>
      <c r="G5" s="80" t="e">
        <f>+G4</f>
        <v>#REF!</v>
      </c>
      <c r="H5" s="86" t="s">
        <v>189</v>
      </c>
      <c r="I5" s="86" t="e">
        <f t="shared" si="0"/>
        <v>#REF!</v>
      </c>
      <c r="J5" s="85" t="e">
        <f t="shared" si="0"/>
        <v>#REF!</v>
      </c>
      <c r="K5" s="88" t="e">
        <f>SUM(B5:J5)</f>
        <v>#REF!</v>
      </c>
      <c r="L5" s="89"/>
      <c r="M5" s="21">
        <f>+M4</f>
        <v>6000</v>
      </c>
      <c r="N5" s="82">
        <f>+'Fast Key'!BB146</f>
        <v>0</v>
      </c>
      <c r="O5" s="21">
        <f t="shared" si="1"/>
        <v>8400</v>
      </c>
      <c r="P5" s="39">
        <f t="shared" si="1"/>
        <v>95</v>
      </c>
      <c r="Q5" s="39">
        <f t="shared" si="1"/>
        <v>56</v>
      </c>
    </row>
    <row r="6" spans="1:17" s="21" customFormat="1" ht="15" thickBot="1">
      <c r="A6" s="90" t="s">
        <v>1057</v>
      </c>
      <c r="B6" s="77">
        <f>+CEILING(N6+M6,10)</f>
        <v>6000</v>
      </c>
      <c r="C6" s="78">
        <f>+O6</f>
        <v>8400</v>
      </c>
      <c r="D6" s="79">
        <f>+CEILING('Fast Key'!BH147*Investor!P6,5)</f>
        <v>0</v>
      </c>
      <c r="E6" s="80">
        <f>+CEILING('Fast Key'!BK147*Investor!Q6,5)</f>
        <v>0</v>
      </c>
      <c r="F6" s="92">
        <f>12*195</f>
        <v>2340</v>
      </c>
      <c r="G6" s="80" t="e">
        <f>+G5</f>
        <v>#REF!</v>
      </c>
      <c r="H6" s="91">
        <v>4150</v>
      </c>
      <c r="I6" s="86" t="e">
        <f t="shared" si="0"/>
        <v>#REF!</v>
      </c>
      <c r="J6" s="85" t="e">
        <f t="shared" si="0"/>
        <v>#REF!</v>
      </c>
      <c r="K6" s="93" t="e">
        <f>SUM(B6:J6)</f>
        <v>#REF!</v>
      </c>
      <c r="L6" s="89"/>
      <c r="M6" s="21">
        <f>+M5</f>
        <v>6000</v>
      </c>
      <c r="N6" s="82">
        <f>+'Fast Key'!BB147</f>
        <v>0</v>
      </c>
      <c r="O6" s="21">
        <f t="shared" si="1"/>
        <v>8400</v>
      </c>
      <c r="P6" s="39">
        <f t="shared" si="1"/>
        <v>95</v>
      </c>
      <c r="Q6" s="39">
        <f t="shared" si="1"/>
        <v>56</v>
      </c>
    </row>
    <row r="7" spans="1:17" s="21" customFormat="1">
      <c r="A7" s="94" t="s">
        <v>190</v>
      </c>
      <c r="B7" s="95"/>
      <c r="C7" s="95"/>
      <c r="D7" s="44"/>
      <c r="E7" s="44"/>
      <c r="F7" s="95"/>
      <c r="G7" s="95"/>
      <c r="H7" s="44"/>
      <c r="I7" s="95"/>
      <c r="J7" s="96"/>
      <c r="P7" s="39"/>
      <c r="Q7" s="39"/>
    </row>
    <row r="8" spans="1:17" s="21" customFormat="1" ht="15" thickBot="1">
      <c r="A8" s="94"/>
      <c r="B8" s="44"/>
      <c r="C8" s="44"/>
      <c r="D8" s="44"/>
      <c r="E8" s="44"/>
      <c r="F8" s="44"/>
      <c r="G8" s="44"/>
      <c r="H8" s="44"/>
      <c r="I8" s="44"/>
      <c r="J8" s="45"/>
      <c r="P8" s="39"/>
      <c r="Q8" s="39"/>
    </row>
    <row r="9" spans="1:17" s="21" customFormat="1" ht="21.6" thickBot="1">
      <c r="A9" s="236" t="s">
        <v>529</v>
      </c>
      <c r="B9" s="237"/>
      <c r="C9" s="238"/>
      <c r="D9" s="238"/>
      <c r="E9" s="238"/>
      <c r="F9" s="238"/>
      <c r="G9" s="239"/>
      <c r="H9" s="240"/>
      <c r="I9" s="238"/>
      <c r="J9" s="241"/>
      <c r="O9" s="39"/>
      <c r="P9" s="39"/>
    </row>
    <row r="10" spans="1:17" s="21" customFormat="1" ht="21.6" thickBot="1">
      <c r="A10" s="236" t="s">
        <v>846</v>
      </c>
      <c r="B10" s="237"/>
      <c r="C10" s="238"/>
      <c r="D10" s="238"/>
      <c r="E10" s="238"/>
      <c r="F10" s="238"/>
      <c r="G10" s="239"/>
      <c r="H10" s="240"/>
      <c r="I10" s="238"/>
      <c r="J10" s="241"/>
      <c r="O10" s="39"/>
      <c r="P10" s="39"/>
    </row>
    <row r="11" spans="1:17" s="21" customFormat="1">
      <c r="A11" s="97"/>
      <c r="D11" s="44"/>
      <c r="E11" s="44"/>
      <c r="G11" s="94"/>
      <c r="H11" s="44"/>
      <c r="I11" s="44"/>
      <c r="J11" s="45"/>
      <c r="O11" s="39"/>
      <c r="P11" s="39"/>
    </row>
    <row r="12" spans="1:17" ht="21" thickBot="1">
      <c r="A12" s="23" t="s">
        <v>879</v>
      </c>
    </row>
    <row r="13" spans="1:17" ht="15" thickBot="1">
      <c r="A13" s="530" t="s">
        <v>882</v>
      </c>
      <c r="B13" s="531"/>
      <c r="C13" s="289" t="s">
        <v>880</v>
      </c>
      <c r="D13" s="290" t="s">
        <v>869</v>
      </c>
    </row>
    <row r="14" spans="1:17">
      <c r="A14" s="524" t="str">
        <f>+Landscaping!B14</f>
        <v>600m2 normal block</v>
      </c>
      <c r="B14" s="525"/>
      <c r="C14" s="286" t="e">
        <f>+Landscaping!C14</f>
        <v>#REF!</v>
      </c>
      <c r="D14" s="286" t="e">
        <f>+Landscaping!D14</f>
        <v>#REF!</v>
      </c>
      <c r="F14" s="291" t="s">
        <v>881</v>
      </c>
      <c r="G14" s="227"/>
      <c r="H14" s="227"/>
      <c r="I14" s="227"/>
      <c r="J14" s="229"/>
    </row>
    <row r="15" spans="1:17" ht="15" thickBot="1">
      <c r="A15" s="526" t="str">
        <f>+Landscaping!B15</f>
        <v>600m2 corner block</v>
      </c>
      <c r="B15" s="527"/>
      <c r="C15" s="287" t="e">
        <f>+Landscaping!C15</f>
        <v>#REF!</v>
      </c>
      <c r="D15" s="287" t="e">
        <f>+Landscaping!D15</f>
        <v>#REF!</v>
      </c>
      <c r="F15" s="292" t="s">
        <v>884</v>
      </c>
      <c r="G15" s="226"/>
      <c r="H15" s="226"/>
      <c r="I15" s="226"/>
      <c r="J15" s="293"/>
    </row>
    <row r="16" spans="1:17">
      <c r="A16" s="526" t="str">
        <f>+Landscaping!B16</f>
        <v>800m2 normal block</v>
      </c>
      <c r="B16" s="527"/>
      <c r="C16" s="287" t="e">
        <f>+Landscaping!C16</f>
        <v>#REF!</v>
      </c>
      <c r="D16" s="287" t="e">
        <f>+Landscaping!D16</f>
        <v>#REF!</v>
      </c>
    </row>
    <row r="17" spans="1:4" ht="15" thickBot="1">
      <c r="A17" s="528" t="str">
        <f>+Landscaping!B17</f>
        <v>800m2 corner block</v>
      </c>
      <c r="B17" s="529"/>
      <c r="C17" s="288" t="e">
        <f>+Landscaping!C17</f>
        <v>#REF!</v>
      </c>
      <c r="D17" s="288" t="e">
        <f>+Landscaping!D17</f>
        <v>#REF!</v>
      </c>
    </row>
  </sheetData>
  <sheetProtection algorithmName="SHA-512" hashValue="vK8MSYrceo+S25U0yRulxGnNRElYBbqkcesQwnT8ZO7V0ERhNT5OMCjSI4HKaRWnDyCSZ4JE2HL9HJwL2x3otg==" saltValue="jxxa9bRXIz2I6axH/l1W0Q==" spinCount="100000" sheet="1" objects="1" scenarios="1"/>
  <mergeCells count="6">
    <mergeCell ref="J1:K1"/>
    <mergeCell ref="A14:B14"/>
    <mergeCell ref="A15:B15"/>
    <mergeCell ref="A16:B16"/>
    <mergeCell ref="A17:B17"/>
    <mergeCell ref="A13:B13"/>
  </mergeCells>
  <pageMargins left="0.7" right="0.7" top="0.75" bottom="0.75" header="0.3" footer="0.3"/>
  <pageSetup paperSize="9" orientation="landscape" horizont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CCC4-0DD3-4781-BC62-773EE4B1F6E9}">
  <sheetPr codeName="Sheet4">
    <pageSetUpPr fitToPage="1"/>
  </sheetPr>
  <dimension ref="A1:O200"/>
  <sheetViews>
    <sheetView zoomScaleNormal="100" workbookViewId="0">
      <selection activeCell="A156" sqref="A156"/>
    </sheetView>
  </sheetViews>
  <sheetFormatPr defaultRowHeight="13.5" customHeight="1"/>
  <cols>
    <col min="1" max="1" width="19.88671875" style="62" customWidth="1"/>
    <col min="2" max="2" width="15.6640625" style="62" customWidth="1"/>
    <col min="3" max="4" width="10.6640625" style="63" customWidth="1"/>
    <col min="5" max="5" width="10.6640625" style="64" customWidth="1"/>
    <col min="6" max="6" width="16.88671875" style="65" bestFit="1" customWidth="1"/>
    <col min="7" max="7" width="10.6640625" style="65" customWidth="1"/>
    <col min="8" max="9" width="9.109375" style="62"/>
    <col min="10" max="11" width="8.6640625" style="62" customWidth="1"/>
    <col min="12" max="12" width="9.109375" style="62"/>
    <col min="13" max="13" width="11.33203125" style="62" customWidth="1"/>
    <col min="14" max="257" width="9.109375" style="62"/>
    <col min="258" max="258" width="22.33203125" style="62" customWidth="1"/>
    <col min="259" max="259" width="19" style="62" customWidth="1"/>
    <col min="260" max="262" width="12.6640625" style="62" customWidth="1"/>
    <col min="263" max="263" width="17.88671875" style="62" customWidth="1"/>
    <col min="264" max="264" width="12.6640625" style="62" customWidth="1"/>
    <col min="265" max="268" width="9.109375" style="62"/>
    <col min="269" max="269" width="11.33203125" style="62" customWidth="1"/>
    <col min="270" max="513" width="9.109375" style="62"/>
    <col min="514" max="514" width="22.33203125" style="62" customWidth="1"/>
    <col min="515" max="515" width="19" style="62" customWidth="1"/>
    <col min="516" max="518" width="12.6640625" style="62" customWidth="1"/>
    <col min="519" max="519" width="17.88671875" style="62" customWidth="1"/>
    <col min="520" max="520" width="12.6640625" style="62" customWidth="1"/>
    <col min="521" max="524" width="9.109375" style="62"/>
    <col min="525" max="525" width="11.33203125" style="62" customWidth="1"/>
    <col min="526" max="769" width="9.109375" style="62"/>
    <col min="770" max="770" width="22.33203125" style="62" customWidth="1"/>
    <col min="771" max="771" width="19" style="62" customWidth="1"/>
    <col min="772" max="774" width="12.6640625" style="62" customWidth="1"/>
    <col min="775" max="775" width="17.88671875" style="62" customWidth="1"/>
    <col min="776" max="776" width="12.6640625" style="62" customWidth="1"/>
    <col min="777" max="780" width="9.109375" style="62"/>
    <col min="781" max="781" width="11.33203125" style="62" customWidth="1"/>
    <col min="782" max="1025" width="9.109375" style="62"/>
    <col min="1026" max="1026" width="22.33203125" style="62" customWidth="1"/>
    <col min="1027" max="1027" width="19" style="62" customWidth="1"/>
    <col min="1028" max="1030" width="12.6640625" style="62" customWidth="1"/>
    <col min="1031" max="1031" width="17.88671875" style="62" customWidth="1"/>
    <col min="1032" max="1032" width="12.6640625" style="62" customWidth="1"/>
    <col min="1033" max="1036" width="9.109375" style="62"/>
    <col min="1037" max="1037" width="11.33203125" style="62" customWidth="1"/>
    <col min="1038" max="1281" width="9.109375" style="62"/>
    <col min="1282" max="1282" width="22.33203125" style="62" customWidth="1"/>
    <col min="1283" max="1283" width="19" style="62" customWidth="1"/>
    <col min="1284" max="1286" width="12.6640625" style="62" customWidth="1"/>
    <col min="1287" max="1287" width="17.88671875" style="62" customWidth="1"/>
    <col min="1288" max="1288" width="12.6640625" style="62" customWidth="1"/>
    <col min="1289" max="1292" width="9.109375" style="62"/>
    <col min="1293" max="1293" width="11.33203125" style="62" customWidth="1"/>
    <col min="1294" max="1537" width="9.109375" style="62"/>
    <col min="1538" max="1538" width="22.33203125" style="62" customWidth="1"/>
    <col min="1539" max="1539" width="19" style="62" customWidth="1"/>
    <col min="1540" max="1542" width="12.6640625" style="62" customWidth="1"/>
    <col min="1543" max="1543" width="17.88671875" style="62" customWidth="1"/>
    <col min="1544" max="1544" width="12.6640625" style="62" customWidth="1"/>
    <col min="1545" max="1548" width="9.109375" style="62"/>
    <col min="1549" max="1549" width="11.33203125" style="62" customWidth="1"/>
    <col min="1550" max="1793" width="9.109375" style="62"/>
    <col min="1794" max="1794" width="22.33203125" style="62" customWidth="1"/>
    <col min="1795" max="1795" width="19" style="62" customWidth="1"/>
    <col min="1796" max="1798" width="12.6640625" style="62" customWidth="1"/>
    <col min="1799" max="1799" width="17.88671875" style="62" customWidth="1"/>
    <col min="1800" max="1800" width="12.6640625" style="62" customWidth="1"/>
    <col min="1801" max="1804" width="9.109375" style="62"/>
    <col min="1805" max="1805" width="11.33203125" style="62" customWidth="1"/>
    <col min="1806" max="2049" width="9.109375" style="62"/>
    <col min="2050" max="2050" width="22.33203125" style="62" customWidth="1"/>
    <col min="2051" max="2051" width="19" style="62" customWidth="1"/>
    <col min="2052" max="2054" width="12.6640625" style="62" customWidth="1"/>
    <col min="2055" max="2055" width="17.88671875" style="62" customWidth="1"/>
    <col min="2056" max="2056" width="12.6640625" style="62" customWidth="1"/>
    <col min="2057" max="2060" width="9.109375" style="62"/>
    <col min="2061" max="2061" width="11.33203125" style="62" customWidth="1"/>
    <col min="2062" max="2305" width="9.109375" style="62"/>
    <col min="2306" max="2306" width="22.33203125" style="62" customWidth="1"/>
    <col min="2307" max="2307" width="19" style="62" customWidth="1"/>
    <col min="2308" max="2310" width="12.6640625" style="62" customWidth="1"/>
    <col min="2311" max="2311" width="17.88671875" style="62" customWidth="1"/>
    <col min="2312" max="2312" width="12.6640625" style="62" customWidth="1"/>
    <col min="2313" max="2316" width="9.109375" style="62"/>
    <col min="2317" max="2317" width="11.33203125" style="62" customWidth="1"/>
    <col min="2318" max="2561" width="9.109375" style="62"/>
    <col min="2562" max="2562" width="22.33203125" style="62" customWidth="1"/>
    <col min="2563" max="2563" width="19" style="62" customWidth="1"/>
    <col min="2564" max="2566" width="12.6640625" style="62" customWidth="1"/>
    <col min="2567" max="2567" width="17.88671875" style="62" customWidth="1"/>
    <col min="2568" max="2568" width="12.6640625" style="62" customWidth="1"/>
    <col min="2569" max="2572" width="9.109375" style="62"/>
    <col min="2573" max="2573" width="11.33203125" style="62" customWidth="1"/>
    <col min="2574" max="2817" width="9.109375" style="62"/>
    <col min="2818" max="2818" width="22.33203125" style="62" customWidth="1"/>
    <col min="2819" max="2819" width="19" style="62" customWidth="1"/>
    <col min="2820" max="2822" width="12.6640625" style="62" customWidth="1"/>
    <col min="2823" max="2823" width="17.88671875" style="62" customWidth="1"/>
    <col min="2824" max="2824" width="12.6640625" style="62" customWidth="1"/>
    <col min="2825" max="2828" width="9.109375" style="62"/>
    <col min="2829" max="2829" width="11.33203125" style="62" customWidth="1"/>
    <col min="2830" max="3073" width="9.109375" style="62"/>
    <col min="3074" max="3074" width="22.33203125" style="62" customWidth="1"/>
    <col min="3075" max="3075" width="19" style="62" customWidth="1"/>
    <col min="3076" max="3078" width="12.6640625" style="62" customWidth="1"/>
    <col min="3079" max="3079" width="17.88671875" style="62" customWidth="1"/>
    <col min="3080" max="3080" width="12.6640625" style="62" customWidth="1"/>
    <col min="3081" max="3084" width="9.109375" style="62"/>
    <col min="3085" max="3085" width="11.33203125" style="62" customWidth="1"/>
    <col min="3086" max="3329" width="9.109375" style="62"/>
    <col min="3330" max="3330" width="22.33203125" style="62" customWidth="1"/>
    <col min="3331" max="3331" width="19" style="62" customWidth="1"/>
    <col min="3332" max="3334" width="12.6640625" style="62" customWidth="1"/>
    <col min="3335" max="3335" width="17.88671875" style="62" customWidth="1"/>
    <col min="3336" max="3336" width="12.6640625" style="62" customWidth="1"/>
    <col min="3337" max="3340" width="9.109375" style="62"/>
    <col min="3341" max="3341" width="11.33203125" style="62" customWidth="1"/>
    <col min="3342" max="3585" width="9.109375" style="62"/>
    <col min="3586" max="3586" width="22.33203125" style="62" customWidth="1"/>
    <col min="3587" max="3587" width="19" style="62" customWidth="1"/>
    <col min="3588" max="3590" width="12.6640625" style="62" customWidth="1"/>
    <col min="3591" max="3591" width="17.88671875" style="62" customWidth="1"/>
    <col min="3592" max="3592" width="12.6640625" style="62" customWidth="1"/>
    <col min="3593" max="3596" width="9.109375" style="62"/>
    <col min="3597" max="3597" width="11.33203125" style="62" customWidth="1"/>
    <col min="3598" max="3841" width="9.109375" style="62"/>
    <col min="3842" max="3842" width="22.33203125" style="62" customWidth="1"/>
    <col min="3843" max="3843" width="19" style="62" customWidth="1"/>
    <col min="3844" max="3846" width="12.6640625" style="62" customWidth="1"/>
    <col min="3847" max="3847" width="17.88671875" style="62" customWidth="1"/>
    <col min="3848" max="3848" width="12.6640625" style="62" customWidth="1"/>
    <col min="3849" max="3852" width="9.109375" style="62"/>
    <col min="3853" max="3853" width="11.33203125" style="62" customWidth="1"/>
    <col min="3854" max="4097" width="9.109375" style="62"/>
    <col min="4098" max="4098" width="22.33203125" style="62" customWidth="1"/>
    <col min="4099" max="4099" width="19" style="62" customWidth="1"/>
    <col min="4100" max="4102" width="12.6640625" style="62" customWidth="1"/>
    <col min="4103" max="4103" width="17.88671875" style="62" customWidth="1"/>
    <col min="4104" max="4104" width="12.6640625" style="62" customWidth="1"/>
    <col min="4105" max="4108" width="9.109375" style="62"/>
    <col min="4109" max="4109" width="11.33203125" style="62" customWidth="1"/>
    <col min="4110" max="4353" width="9.109375" style="62"/>
    <col min="4354" max="4354" width="22.33203125" style="62" customWidth="1"/>
    <col min="4355" max="4355" width="19" style="62" customWidth="1"/>
    <col min="4356" max="4358" width="12.6640625" style="62" customWidth="1"/>
    <col min="4359" max="4359" width="17.88671875" style="62" customWidth="1"/>
    <col min="4360" max="4360" width="12.6640625" style="62" customWidth="1"/>
    <col min="4361" max="4364" width="9.109375" style="62"/>
    <col min="4365" max="4365" width="11.33203125" style="62" customWidth="1"/>
    <col min="4366" max="4609" width="9.109375" style="62"/>
    <col min="4610" max="4610" width="22.33203125" style="62" customWidth="1"/>
    <col min="4611" max="4611" width="19" style="62" customWidth="1"/>
    <col min="4612" max="4614" width="12.6640625" style="62" customWidth="1"/>
    <col min="4615" max="4615" width="17.88671875" style="62" customWidth="1"/>
    <col min="4616" max="4616" width="12.6640625" style="62" customWidth="1"/>
    <col min="4617" max="4620" width="9.109375" style="62"/>
    <col min="4621" max="4621" width="11.33203125" style="62" customWidth="1"/>
    <col min="4622" max="4865" width="9.109375" style="62"/>
    <col min="4866" max="4866" width="22.33203125" style="62" customWidth="1"/>
    <col min="4867" max="4867" width="19" style="62" customWidth="1"/>
    <col min="4868" max="4870" width="12.6640625" style="62" customWidth="1"/>
    <col min="4871" max="4871" width="17.88671875" style="62" customWidth="1"/>
    <col min="4872" max="4872" width="12.6640625" style="62" customWidth="1"/>
    <col min="4873" max="4876" width="9.109375" style="62"/>
    <col min="4877" max="4877" width="11.33203125" style="62" customWidth="1"/>
    <col min="4878" max="5121" width="9.109375" style="62"/>
    <col min="5122" max="5122" width="22.33203125" style="62" customWidth="1"/>
    <col min="5123" max="5123" width="19" style="62" customWidth="1"/>
    <col min="5124" max="5126" width="12.6640625" style="62" customWidth="1"/>
    <col min="5127" max="5127" width="17.88671875" style="62" customWidth="1"/>
    <col min="5128" max="5128" width="12.6640625" style="62" customWidth="1"/>
    <col min="5129" max="5132" width="9.109375" style="62"/>
    <col min="5133" max="5133" width="11.33203125" style="62" customWidth="1"/>
    <col min="5134" max="5377" width="9.109375" style="62"/>
    <col min="5378" max="5378" width="22.33203125" style="62" customWidth="1"/>
    <col min="5379" max="5379" width="19" style="62" customWidth="1"/>
    <col min="5380" max="5382" width="12.6640625" style="62" customWidth="1"/>
    <col min="5383" max="5383" width="17.88671875" style="62" customWidth="1"/>
    <col min="5384" max="5384" width="12.6640625" style="62" customWidth="1"/>
    <col min="5385" max="5388" width="9.109375" style="62"/>
    <col min="5389" max="5389" width="11.33203125" style="62" customWidth="1"/>
    <col min="5390" max="5633" width="9.109375" style="62"/>
    <col min="5634" max="5634" width="22.33203125" style="62" customWidth="1"/>
    <col min="5635" max="5635" width="19" style="62" customWidth="1"/>
    <col min="5636" max="5638" width="12.6640625" style="62" customWidth="1"/>
    <col min="5639" max="5639" width="17.88671875" style="62" customWidth="1"/>
    <col min="5640" max="5640" width="12.6640625" style="62" customWidth="1"/>
    <col min="5641" max="5644" width="9.109375" style="62"/>
    <col min="5645" max="5645" width="11.33203125" style="62" customWidth="1"/>
    <col min="5646" max="5889" width="9.109375" style="62"/>
    <col min="5890" max="5890" width="22.33203125" style="62" customWidth="1"/>
    <col min="5891" max="5891" width="19" style="62" customWidth="1"/>
    <col min="5892" max="5894" width="12.6640625" style="62" customWidth="1"/>
    <col min="5895" max="5895" width="17.88671875" style="62" customWidth="1"/>
    <col min="5896" max="5896" width="12.6640625" style="62" customWidth="1"/>
    <col min="5897" max="5900" width="9.109375" style="62"/>
    <col min="5901" max="5901" width="11.33203125" style="62" customWidth="1"/>
    <col min="5902" max="6145" width="9.109375" style="62"/>
    <col min="6146" max="6146" width="22.33203125" style="62" customWidth="1"/>
    <col min="6147" max="6147" width="19" style="62" customWidth="1"/>
    <col min="6148" max="6150" width="12.6640625" style="62" customWidth="1"/>
    <col min="6151" max="6151" width="17.88671875" style="62" customWidth="1"/>
    <col min="6152" max="6152" width="12.6640625" style="62" customWidth="1"/>
    <col min="6153" max="6156" width="9.109375" style="62"/>
    <col min="6157" max="6157" width="11.33203125" style="62" customWidth="1"/>
    <col min="6158" max="6401" width="9.109375" style="62"/>
    <col min="6402" max="6402" width="22.33203125" style="62" customWidth="1"/>
    <col min="6403" max="6403" width="19" style="62" customWidth="1"/>
    <col min="6404" max="6406" width="12.6640625" style="62" customWidth="1"/>
    <col min="6407" max="6407" width="17.88671875" style="62" customWidth="1"/>
    <col min="6408" max="6408" width="12.6640625" style="62" customWidth="1"/>
    <col min="6409" max="6412" width="9.109375" style="62"/>
    <col min="6413" max="6413" width="11.33203125" style="62" customWidth="1"/>
    <col min="6414" max="6657" width="9.109375" style="62"/>
    <col min="6658" max="6658" width="22.33203125" style="62" customWidth="1"/>
    <col min="6659" max="6659" width="19" style="62" customWidth="1"/>
    <col min="6660" max="6662" width="12.6640625" style="62" customWidth="1"/>
    <col min="6663" max="6663" width="17.88671875" style="62" customWidth="1"/>
    <col min="6664" max="6664" width="12.6640625" style="62" customWidth="1"/>
    <col min="6665" max="6668" width="9.109375" style="62"/>
    <col min="6669" max="6669" width="11.33203125" style="62" customWidth="1"/>
    <col min="6670" max="6913" width="9.109375" style="62"/>
    <col min="6914" max="6914" width="22.33203125" style="62" customWidth="1"/>
    <col min="6915" max="6915" width="19" style="62" customWidth="1"/>
    <col min="6916" max="6918" width="12.6640625" style="62" customWidth="1"/>
    <col min="6919" max="6919" width="17.88671875" style="62" customWidth="1"/>
    <col min="6920" max="6920" width="12.6640625" style="62" customWidth="1"/>
    <col min="6921" max="6924" width="9.109375" style="62"/>
    <col min="6925" max="6925" width="11.33203125" style="62" customWidth="1"/>
    <col min="6926" max="7169" width="9.109375" style="62"/>
    <col min="7170" max="7170" width="22.33203125" style="62" customWidth="1"/>
    <col min="7171" max="7171" width="19" style="62" customWidth="1"/>
    <col min="7172" max="7174" width="12.6640625" style="62" customWidth="1"/>
    <col min="7175" max="7175" width="17.88671875" style="62" customWidth="1"/>
    <col min="7176" max="7176" width="12.6640625" style="62" customWidth="1"/>
    <col min="7177" max="7180" width="9.109375" style="62"/>
    <col min="7181" max="7181" width="11.33203125" style="62" customWidth="1"/>
    <col min="7182" max="7425" width="9.109375" style="62"/>
    <col min="7426" max="7426" width="22.33203125" style="62" customWidth="1"/>
    <col min="7427" max="7427" width="19" style="62" customWidth="1"/>
    <col min="7428" max="7430" width="12.6640625" style="62" customWidth="1"/>
    <col min="7431" max="7431" width="17.88671875" style="62" customWidth="1"/>
    <col min="7432" max="7432" width="12.6640625" style="62" customWidth="1"/>
    <col min="7433" max="7436" width="9.109375" style="62"/>
    <col min="7437" max="7437" width="11.33203125" style="62" customWidth="1"/>
    <col min="7438" max="7681" width="9.109375" style="62"/>
    <col min="7682" max="7682" width="22.33203125" style="62" customWidth="1"/>
    <col min="7683" max="7683" width="19" style="62" customWidth="1"/>
    <col min="7684" max="7686" width="12.6640625" style="62" customWidth="1"/>
    <col min="7687" max="7687" width="17.88671875" style="62" customWidth="1"/>
    <col min="7688" max="7688" width="12.6640625" style="62" customWidth="1"/>
    <col min="7689" max="7692" width="9.109375" style="62"/>
    <col min="7693" max="7693" width="11.33203125" style="62" customWidth="1"/>
    <col min="7694" max="7937" width="9.109375" style="62"/>
    <col min="7938" max="7938" width="22.33203125" style="62" customWidth="1"/>
    <col min="7939" max="7939" width="19" style="62" customWidth="1"/>
    <col min="7940" max="7942" width="12.6640625" style="62" customWidth="1"/>
    <col min="7943" max="7943" width="17.88671875" style="62" customWidth="1"/>
    <col min="7944" max="7944" width="12.6640625" style="62" customWidth="1"/>
    <col min="7945" max="7948" width="9.109375" style="62"/>
    <col min="7949" max="7949" width="11.33203125" style="62" customWidth="1"/>
    <col min="7950" max="8193" width="9.109375" style="62"/>
    <col min="8194" max="8194" width="22.33203125" style="62" customWidth="1"/>
    <col min="8195" max="8195" width="19" style="62" customWidth="1"/>
    <col min="8196" max="8198" width="12.6640625" style="62" customWidth="1"/>
    <col min="8199" max="8199" width="17.88671875" style="62" customWidth="1"/>
    <col min="8200" max="8200" width="12.6640625" style="62" customWidth="1"/>
    <col min="8201" max="8204" width="9.109375" style="62"/>
    <col min="8205" max="8205" width="11.33203125" style="62" customWidth="1"/>
    <col min="8206" max="8449" width="9.109375" style="62"/>
    <col min="8450" max="8450" width="22.33203125" style="62" customWidth="1"/>
    <col min="8451" max="8451" width="19" style="62" customWidth="1"/>
    <col min="8452" max="8454" width="12.6640625" style="62" customWidth="1"/>
    <col min="8455" max="8455" width="17.88671875" style="62" customWidth="1"/>
    <col min="8456" max="8456" width="12.6640625" style="62" customWidth="1"/>
    <col min="8457" max="8460" width="9.109375" style="62"/>
    <col min="8461" max="8461" width="11.33203125" style="62" customWidth="1"/>
    <col min="8462" max="8705" width="9.109375" style="62"/>
    <col min="8706" max="8706" width="22.33203125" style="62" customWidth="1"/>
    <col min="8707" max="8707" width="19" style="62" customWidth="1"/>
    <col min="8708" max="8710" width="12.6640625" style="62" customWidth="1"/>
    <col min="8711" max="8711" width="17.88671875" style="62" customWidth="1"/>
    <col min="8712" max="8712" width="12.6640625" style="62" customWidth="1"/>
    <col min="8713" max="8716" width="9.109375" style="62"/>
    <col min="8717" max="8717" width="11.33203125" style="62" customWidth="1"/>
    <col min="8718" max="8961" width="9.109375" style="62"/>
    <col min="8962" max="8962" width="22.33203125" style="62" customWidth="1"/>
    <col min="8963" max="8963" width="19" style="62" customWidth="1"/>
    <col min="8964" max="8966" width="12.6640625" style="62" customWidth="1"/>
    <col min="8967" max="8967" width="17.88671875" style="62" customWidth="1"/>
    <col min="8968" max="8968" width="12.6640625" style="62" customWidth="1"/>
    <col min="8969" max="8972" width="9.109375" style="62"/>
    <col min="8973" max="8973" width="11.33203125" style="62" customWidth="1"/>
    <col min="8974" max="9217" width="9.109375" style="62"/>
    <col min="9218" max="9218" width="22.33203125" style="62" customWidth="1"/>
    <col min="9219" max="9219" width="19" style="62" customWidth="1"/>
    <col min="9220" max="9222" width="12.6640625" style="62" customWidth="1"/>
    <col min="9223" max="9223" width="17.88671875" style="62" customWidth="1"/>
    <col min="9224" max="9224" width="12.6640625" style="62" customWidth="1"/>
    <col min="9225" max="9228" width="9.109375" style="62"/>
    <col min="9229" max="9229" width="11.33203125" style="62" customWidth="1"/>
    <col min="9230" max="9473" width="9.109375" style="62"/>
    <col min="9474" max="9474" width="22.33203125" style="62" customWidth="1"/>
    <col min="9475" max="9475" width="19" style="62" customWidth="1"/>
    <col min="9476" max="9478" width="12.6640625" style="62" customWidth="1"/>
    <col min="9479" max="9479" width="17.88671875" style="62" customWidth="1"/>
    <col min="9480" max="9480" width="12.6640625" style="62" customWidth="1"/>
    <col min="9481" max="9484" width="9.109375" style="62"/>
    <col min="9485" max="9485" width="11.33203125" style="62" customWidth="1"/>
    <col min="9486" max="9729" width="9.109375" style="62"/>
    <col min="9730" max="9730" width="22.33203125" style="62" customWidth="1"/>
    <col min="9731" max="9731" width="19" style="62" customWidth="1"/>
    <col min="9732" max="9734" width="12.6640625" style="62" customWidth="1"/>
    <col min="9735" max="9735" width="17.88671875" style="62" customWidth="1"/>
    <col min="9736" max="9736" width="12.6640625" style="62" customWidth="1"/>
    <col min="9737" max="9740" width="9.109375" style="62"/>
    <col min="9741" max="9741" width="11.33203125" style="62" customWidth="1"/>
    <col min="9742" max="9985" width="9.109375" style="62"/>
    <col min="9986" max="9986" width="22.33203125" style="62" customWidth="1"/>
    <col min="9987" max="9987" width="19" style="62" customWidth="1"/>
    <col min="9988" max="9990" width="12.6640625" style="62" customWidth="1"/>
    <col min="9991" max="9991" width="17.88671875" style="62" customWidth="1"/>
    <col min="9992" max="9992" width="12.6640625" style="62" customWidth="1"/>
    <col min="9993" max="9996" width="9.109375" style="62"/>
    <col min="9997" max="9997" width="11.33203125" style="62" customWidth="1"/>
    <col min="9998" max="10241" width="9.109375" style="62"/>
    <col min="10242" max="10242" width="22.33203125" style="62" customWidth="1"/>
    <col min="10243" max="10243" width="19" style="62" customWidth="1"/>
    <col min="10244" max="10246" width="12.6640625" style="62" customWidth="1"/>
    <col min="10247" max="10247" width="17.88671875" style="62" customWidth="1"/>
    <col min="10248" max="10248" width="12.6640625" style="62" customWidth="1"/>
    <col min="10249" max="10252" width="9.109375" style="62"/>
    <col min="10253" max="10253" width="11.33203125" style="62" customWidth="1"/>
    <col min="10254" max="10497" width="9.109375" style="62"/>
    <col min="10498" max="10498" width="22.33203125" style="62" customWidth="1"/>
    <col min="10499" max="10499" width="19" style="62" customWidth="1"/>
    <col min="10500" max="10502" width="12.6640625" style="62" customWidth="1"/>
    <col min="10503" max="10503" width="17.88671875" style="62" customWidth="1"/>
    <col min="10504" max="10504" width="12.6640625" style="62" customWidth="1"/>
    <col min="10505" max="10508" width="9.109375" style="62"/>
    <col min="10509" max="10509" width="11.33203125" style="62" customWidth="1"/>
    <col min="10510" max="10753" width="9.109375" style="62"/>
    <col min="10754" max="10754" width="22.33203125" style="62" customWidth="1"/>
    <col min="10755" max="10755" width="19" style="62" customWidth="1"/>
    <col min="10756" max="10758" width="12.6640625" style="62" customWidth="1"/>
    <col min="10759" max="10759" width="17.88671875" style="62" customWidth="1"/>
    <col min="10760" max="10760" width="12.6640625" style="62" customWidth="1"/>
    <col min="10761" max="10764" width="9.109375" style="62"/>
    <col min="10765" max="10765" width="11.33203125" style="62" customWidth="1"/>
    <col min="10766" max="11009" width="9.109375" style="62"/>
    <col min="11010" max="11010" width="22.33203125" style="62" customWidth="1"/>
    <col min="11011" max="11011" width="19" style="62" customWidth="1"/>
    <col min="11012" max="11014" width="12.6640625" style="62" customWidth="1"/>
    <col min="11015" max="11015" width="17.88671875" style="62" customWidth="1"/>
    <col min="11016" max="11016" width="12.6640625" style="62" customWidth="1"/>
    <col min="11017" max="11020" width="9.109375" style="62"/>
    <col min="11021" max="11021" width="11.33203125" style="62" customWidth="1"/>
    <col min="11022" max="11265" width="9.109375" style="62"/>
    <col min="11266" max="11266" width="22.33203125" style="62" customWidth="1"/>
    <col min="11267" max="11267" width="19" style="62" customWidth="1"/>
    <col min="11268" max="11270" width="12.6640625" style="62" customWidth="1"/>
    <col min="11271" max="11271" width="17.88671875" style="62" customWidth="1"/>
    <col min="11272" max="11272" width="12.6640625" style="62" customWidth="1"/>
    <col min="11273" max="11276" width="9.109375" style="62"/>
    <col min="11277" max="11277" width="11.33203125" style="62" customWidth="1"/>
    <col min="11278" max="11521" width="9.109375" style="62"/>
    <col min="11522" max="11522" width="22.33203125" style="62" customWidth="1"/>
    <col min="11523" max="11523" width="19" style="62" customWidth="1"/>
    <col min="11524" max="11526" width="12.6640625" style="62" customWidth="1"/>
    <col min="11527" max="11527" width="17.88671875" style="62" customWidth="1"/>
    <col min="11528" max="11528" width="12.6640625" style="62" customWidth="1"/>
    <col min="11529" max="11532" width="9.109375" style="62"/>
    <col min="11533" max="11533" width="11.33203125" style="62" customWidth="1"/>
    <col min="11534" max="11777" width="9.109375" style="62"/>
    <col min="11778" max="11778" width="22.33203125" style="62" customWidth="1"/>
    <col min="11779" max="11779" width="19" style="62" customWidth="1"/>
    <col min="11780" max="11782" width="12.6640625" style="62" customWidth="1"/>
    <col min="11783" max="11783" width="17.88671875" style="62" customWidth="1"/>
    <col min="11784" max="11784" width="12.6640625" style="62" customWidth="1"/>
    <col min="11785" max="11788" width="9.109375" style="62"/>
    <col min="11789" max="11789" width="11.33203125" style="62" customWidth="1"/>
    <col min="11790" max="12033" width="9.109375" style="62"/>
    <col min="12034" max="12034" width="22.33203125" style="62" customWidth="1"/>
    <col min="12035" max="12035" width="19" style="62" customWidth="1"/>
    <col min="12036" max="12038" width="12.6640625" style="62" customWidth="1"/>
    <col min="12039" max="12039" width="17.88671875" style="62" customWidth="1"/>
    <col min="12040" max="12040" width="12.6640625" style="62" customWidth="1"/>
    <col min="12041" max="12044" width="9.109375" style="62"/>
    <col min="12045" max="12045" width="11.33203125" style="62" customWidth="1"/>
    <col min="12046" max="12289" width="9.109375" style="62"/>
    <col min="12290" max="12290" width="22.33203125" style="62" customWidth="1"/>
    <col min="12291" max="12291" width="19" style="62" customWidth="1"/>
    <col min="12292" max="12294" width="12.6640625" style="62" customWidth="1"/>
    <col min="12295" max="12295" width="17.88671875" style="62" customWidth="1"/>
    <col min="12296" max="12296" width="12.6640625" style="62" customWidth="1"/>
    <col min="12297" max="12300" width="9.109375" style="62"/>
    <col min="12301" max="12301" width="11.33203125" style="62" customWidth="1"/>
    <col min="12302" max="12545" width="9.109375" style="62"/>
    <col min="12546" max="12546" width="22.33203125" style="62" customWidth="1"/>
    <col min="12547" max="12547" width="19" style="62" customWidth="1"/>
    <col min="12548" max="12550" width="12.6640625" style="62" customWidth="1"/>
    <col min="12551" max="12551" width="17.88671875" style="62" customWidth="1"/>
    <col min="12552" max="12552" width="12.6640625" style="62" customWidth="1"/>
    <col min="12553" max="12556" width="9.109375" style="62"/>
    <col min="12557" max="12557" width="11.33203125" style="62" customWidth="1"/>
    <col min="12558" max="12801" width="9.109375" style="62"/>
    <col min="12802" max="12802" width="22.33203125" style="62" customWidth="1"/>
    <col min="12803" max="12803" width="19" style="62" customWidth="1"/>
    <col min="12804" max="12806" width="12.6640625" style="62" customWidth="1"/>
    <col min="12807" max="12807" width="17.88671875" style="62" customWidth="1"/>
    <col min="12808" max="12808" width="12.6640625" style="62" customWidth="1"/>
    <col min="12809" max="12812" width="9.109375" style="62"/>
    <col min="12813" max="12813" width="11.33203125" style="62" customWidth="1"/>
    <col min="12814" max="13057" width="9.109375" style="62"/>
    <col min="13058" max="13058" width="22.33203125" style="62" customWidth="1"/>
    <col min="13059" max="13059" width="19" style="62" customWidth="1"/>
    <col min="13060" max="13062" width="12.6640625" style="62" customWidth="1"/>
    <col min="13063" max="13063" width="17.88671875" style="62" customWidth="1"/>
    <col min="13064" max="13064" width="12.6640625" style="62" customWidth="1"/>
    <col min="13065" max="13068" width="9.109375" style="62"/>
    <col min="13069" max="13069" width="11.33203125" style="62" customWidth="1"/>
    <col min="13070" max="13313" width="9.109375" style="62"/>
    <col min="13314" max="13314" width="22.33203125" style="62" customWidth="1"/>
    <col min="13315" max="13315" width="19" style="62" customWidth="1"/>
    <col min="13316" max="13318" width="12.6640625" style="62" customWidth="1"/>
    <col min="13319" max="13319" width="17.88671875" style="62" customWidth="1"/>
    <col min="13320" max="13320" width="12.6640625" style="62" customWidth="1"/>
    <col min="13321" max="13324" width="9.109375" style="62"/>
    <col min="13325" max="13325" width="11.33203125" style="62" customWidth="1"/>
    <col min="13326" max="13569" width="9.109375" style="62"/>
    <col min="13570" max="13570" width="22.33203125" style="62" customWidth="1"/>
    <col min="13571" max="13571" width="19" style="62" customWidth="1"/>
    <col min="13572" max="13574" width="12.6640625" style="62" customWidth="1"/>
    <col min="13575" max="13575" width="17.88671875" style="62" customWidth="1"/>
    <col min="13576" max="13576" width="12.6640625" style="62" customWidth="1"/>
    <col min="13577" max="13580" width="9.109375" style="62"/>
    <col min="13581" max="13581" width="11.33203125" style="62" customWidth="1"/>
    <col min="13582" max="13825" width="9.109375" style="62"/>
    <col min="13826" max="13826" width="22.33203125" style="62" customWidth="1"/>
    <col min="13827" max="13827" width="19" style="62" customWidth="1"/>
    <col min="13828" max="13830" width="12.6640625" style="62" customWidth="1"/>
    <col min="13831" max="13831" width="17.88671875" style="62" customWidth="1"/>
    <col min="13832" max="13832" width="12.6640625" style="62" customWidth="1"/>
    <col min="13833" max="13836" width="9.109375" style="62"/>
    <col min="13837" max="13837" width="11.33203125" style="62" customWidth="1"/>
    <col min="13838" max="14081" width="9.109375" style="62"/>
    <col min="14082" max="14082" width="22.33203125" style="62" customWidth="1"/>
    <col min="14083" max="14083" width="19" style="62" customWidth="1"/>
    <col min="14084" max="14086" width="12.6640625" style="62" customWidth="1"/>
    <col min="14087" max="14087" width="17.88671875" style="62" customWidth="1"/>
    <col min="14088" max="14088" width="12.6640625" style="62" customWidth="1"/>
    <col min="14089" max="14092" width="9.109375" style="62"/>
    <col min="14093" max="14093" width="11.33203125" style="62" customWidth="1"/>
    <col min="14094" max="14337" width="9.109375" style="62"/>
    <col min="14338" max="14338" width="22.33203125" style="62" customWidth="1"/>
    <col min="14339" max="14339" width="19" style="62" customWidth="1"/>
    <col min="14340" max="14342" width="12.6640625" style="62" customWidth="1"/>
    <col min="14343" max="14343" width="17.88671875" style="62" customWidth="1"/>
    <col min="14344" max="14344" width="12.6640625" style="62" customWidth="1"/>
    <col min="14345" max="14348" width="9.109375" style="62"/>
    <col min="14349" max="14349" width="11.33203125" style="62" customWidth="1"/>
    <col min="14350" max="14593" width="9.109375" style="62"/>
    <col min="14594" max="14594" width="22.33203125" style="62" customWidth="1"/>
    <col min="14595" max="14595" width="19" style="62" customWidth="1"/>
    <col min="14596" max="14598" width="12.6640625" style="62" customWidth="1"/>
    <col min="14599" max="14599" width="17.88671875" style="62" customWidth="1"/>
    <col min="14600" max="14600" width="12.6640625" style="62" customWidth="1"/>
    <col min="14601" max="14604" width="9.109375" style="62"/>
    <col min="14605" max="14605" width="11.33203125" style="62" customWidth="1"/>
    <col min="14606" max="14849" width="9.109375" style="62"/>
    <col min="14850" max="14850" width="22.33203125" style="62" customWidth="1"/>
    <col min="14851" max="14851" width="19" style="62" customWidth="1"/>
    <col min="14852" max="14854" width="12.6640625" style="62" customWidth="1"/>
    <col min="14855" max="14855" width="17.88671875" style="62" customWidth="1"/>
    <col min="14856" max="14856" width="12.6640625" style="62" customWidth="1"/>
    <col min="14857" max="14860" width="9.109375" style="62"/>
    <col min="14861" max="14861" width="11.33203125" style="62" customWidth="1"/>
    <col min="14862" max="15105" width="9.109375" style="62"/>
    <col min="15106" max="15106" width="22.33203125" style="62" customWidth="1"/>
    <col min="15107" max="15107" width="19" style="62" customWidth="1"/>
    <col min="15108" max="15110" width="12.6640625" style="62" customWidth="1"/>
    <col min="15111" max="15111" width="17.88671875" style="62" customWidth="1"/>
    <col min="15112" max="15112" width="12.6640625" style="62" customWidth="1"/>
    <col min="15113" max="15116" width="9.109375" style="62"/>
    <col min="15117" max="15117" width="11.33203125" style="62" customWidth="1"/>
    <col min="15118" max="15361" width="9.109375" style="62"/>
    <col min="15362" max="15362" width="22.33203125" style="62" customWidth="1"/>
    <col min="15363" max="15363" width="19" style="62" customWidth="1"/>
    <col min="15364" max="15366" width="12.6640625" style="62" customWidth="1"/>
    <col min="15367" max="15367" width="17.88671875" style="62" customWidth="1"/>
    <col min="15368" max="15368" width="12.6640625" style="62" customWidth="1"/>
    <col min="15369" max="15372" width="9.109375" style="62"/>
    <col min="15373" max="15373" width="11.33203125" style="62" customWidth="1"/>
    <col min="15374" max="15617" width="9.109375" style="62"/>
    <col min="15618" max="15618" width="22.33203125" style="62" customWidth="1"/>
    <col min="15619" max="15619" width="19" style="62" customWidth="1"/>
    <col min="15620" max="15622" width="12.6640625" style="62" customWidth="1"/>
    <col min="15623" max="15623" width="17.88671875" style="62" customWidth="1"/>
    <col min="15624" max="15624" width="12.6640625" style="62" customWidth="1"/>
    <col min="15625" max="15628" width="9.109375" style="62"/>
    <col min="15629" max="15629" width="11.33203125" style="62" customWidth="1"/>
    <col min="15630" max="15873" width="9.109375" style="62"/>
    <col min="15874" max="15874" width="22.33203125" style="62" customWidth="1"/>
    <col min="15875" max="15875" width="19" style="62" customWidth="1"/>
    <col min="15876" max="15878" width="12.6640625" style="62" customWidth="1"/>
    <col min="15879" max="15879" width="17.88671875" style="62" customWidth="1"/>
    <col min="15880" max="15880" width="12.6640625" style="62" customWidth="1"/>
    <col min="15881" max="15884" width="9.109375" style="62"/>
    <col min="15885" max="15885" width="11.33203125" style="62" customWidth="1"/>
    <col min="15886" max="16129" width="9.109375" style="62"/>
    <col min="16130" max="16130" width="22.33203125" style="62" customWidth="1"/>
    <col min="16131" max="16131" width="19" style="62" customWidth="1"/>
    <col min="16132" max="16134" width="12.6640625" style="62" customWidth="1"/>
    <col min="16135" max="16135" width="17.88671875" style="62" customWidth="1"/>
    <col min="16136" max="16136" width="12.6640625" style="62" customWidth="1"/>
    <col min="16137" max="16140" width="9.109375" style="62"/>
    <col min="16141" max="16141" width="11.33203125" style="62" customWidth="1"/>
    <col min="16142" max="16384" width="9.109375" style="62"/>
  </cols>
  <sheetData>
    <row r="1" spans="1:15" s="21" customFormat="1" ht="13.5" customHeight="1">
      <c r="A1" s="521" t="s">
        <v>191</v>
      </c>
      <c r="B1" s="521"/>
      <c r="C1" s="521"/>
      <c r="D1" s="521"/>
      <c r="E1" s="521"/>
      <c r="F1" s="521"/>
      <c r="G1" s="521"/>
      <c r="H1" s="20"/>
    </row>
    <row r="2" spans="1:15" s="21" customFormat="1" ht="13.5" customHeight="1" thickBot="1">
      <c r="A2" s="23" t="s">
        <v>1080</v>
      </c>
      <c r="F2" s="24"/>
      <c r="G2" s="25"/>
      <c r="H2" s="20"/>
    </row>
    <row r="3" spans="1:15" s="21" customFormat="1" ht="91.5" customHeight="1" thickBot="1">
      <c r="A3" s="26" t="s">
        <v>153</v>
      </c>
      <c r="B3" s="27" t="s">
        <v>154</v>
      </c>
      <c r="C3" s="28" t="s">
        <v>155</v>
      </c>
      <c r="D3" s="28" t="s">
        <v>156</v>
      </c>
      <c r="E3" s="28" t="s">
        <v>157</v>
      </c>
      <c r="F3" s="29" t="s">
        <v>158</v>
      </c>
      <c r="G3" s="28" t="s">
        <v>159</v>
      </c>
      <c r="H3" s="30"/>
      <c r="I3" s="31" t="s">
        <v>11</v>
      </c>
      <c r="J3" s="32" t="s">
        <v>160</v>
      </c>
      <c r="K3" s="32" t="s">
        <v>1065</v>
      </c>
      <c r="L3" s="33" t="s">
        <v>161</v>
      </c>
      <c r="M3" s="33" t="s">
        <v>162</v>
      </c>
      <c r="N3" s="33" t="s">
        <v>163</v>
      </c>
      <c r="O3" s="33" t="s">
        <v>164</v>
      </c>
    </row>
    <row r="4" spans="1:15" s="21" customFormat="1" ht="15.75" customHeight="1">
      <c r="A4" s="34" t="s">
        <v>12</v>
      </c>
      <c r="B4" s="35">
        <f>+CEILING(I4+J4+K4,10)</f>
        <v>0</v>
      </c>
      <c r="C4" s="36" t="e">
        <f>+L4</f>
        <v>#REF!</v>
      </c>
      <c r="D4" s="37">
        <f>+Shepparton!D4</f>
        <v>5900</v>
      </c>
      <c r="E4" s="37">
        <f>+Shepparton!E4</f>
        <v>3010</v>
      </c>
      <c r="F4" s="38" t="e">
        <f>SUM(B4:E4)</f>
        <v>#REF!</v>
      </c>
      <c r="G4" s="37" t="e">
        <f>+Shepparton!#REF!</f>
        <v>#REF!</v>
      </c>
      <c r="H4" s="20"/>
      <c r="I4" s="39">
        <f>+'Fast Key'!BC13</f>
        <v>0</v>
      </c>
      <c r="J4" s="21">
        <f>+'Fast Key'!BB6</f>
        <v>0</v>
      </c>
      <c r="K4" s="21">
        <f>+'Fast Key'!BD13</f>
        <v>0</v>
      </c>
      <c r="L4" s="21" t="e">
        <f>50*'2.TRAVEL'!#REF!</f>
        <v>#REF!</v>
      </c>
      <c r="M4" s="21">
        <v>103</v>
      </c>
      <c r="N4" s="21">
        <v>60</v>
      </c>
      <c r="O4" s="21">
        <v>65</v>
      </c>
    </row>
    <row r="5" spans="1:15" s="21" customFormat="1" ht="15.75" customHeight="1">
      <c r="A5" s="42" t="s">
        <v>13</v>
      </c>
      <c r="B5" s="35">
        <f>+CEILING(I5+J5+K5,10)</f>
        <v>0</v>
      </c>
      <c r="C5" s="43" t="e">
        <f t="shared" ref="C5:C41" si="0">+L5</f>
        <v>#REF!</v>
      </c>
      <c r="D5" s="37">
        <f>+Shepparton!D5</f>
        <v>7005</v>
      </c>
      <c r="E5" s="37">
        <f>+Shepparton!E5</f>
        <v>3715</v>
      </c>
      <c r="F5" s="38" t="e">
        <f t="shared" ref="F5:F41" si="1">SUM(B5:E5)</f>
        <v>#REF!</v>
      </c>
      <c r="G5" s="37" t="e">
        <f>+Shepparton!#REF!</f>
        <v>#REF!</v>
      </c>
      <c r="H5" s="20"/>
      <c r="I5" s="39">
        <f>+'Fast Key'!BC14</f>
        <v>0</v>
      </c>
      <c r="J5" s="21">
        <f>+J4</f>
        <v>0</v>
      </c>
      <c r="K5" s="21">
        <f>+'Fast Key'!BD14</f>
        <v>0</v>
      </c>
      <c r="L5" s="21" t="e">
        <f>+L4</f>
        <v>#REF!</v>
      </c>
      <c r="M5" s="21">
        <f>+M4</f>
        <v>103</v>
      </c>
      <c r="N5" s="21">
        <f>+N4</f>
        <v>60</v>
      </c>
      <c r="O5" s="21">
        <f>+O4</f>
        <v>65</v>
      </c>
    </row>
    <row r="6" spans="1:15" s="21" customFormat="1" ht="15.75" customHeight="1">
      <c r="A6" s="42" t="s">
        <v>14</v>
      </c>
      <c r="B6" s="35">
        <f>+CEILING(I6+J6+K6,10)</f>
        <v>0</v>
      </c>
      <c r="C6" s="43" t="e">
        <f t="shared" si="0"/>
        <v>#REF!</v>
      </c>
      <c r="D6" s="37">
        <f>+Shepparton!D6</f>
        <v>7410</v>
      </c>
      <c r="E6" s="37">
        <f>+Shepparton!E6</f>
        <v>3680</v>
      </c>
      <c r="F6" s="38" t="e">
        <f t="shared" si="1"/>
        <v>#REF!</v>
      </c>
      <c r="G6" s="37" t="e">
        <f>+Shepparton!#REF!</f>
        <v>#REF!</v>
      </c>
      <c r="H6" s="20"/>
      <c r="I6" s="39">
        <f>+'Fast Key'!BC15</f>
        <v>0</v>
      </c>
      <c r="J6" s="21">
        <f t="shared" ref="J6:O26" si="2">+J5</f>
        <v>0</v>
      </c>
      <c r="K6" s="21">
        <f>+'Fast Key'!BD15</f>
        <v>0</v>
      </c>
      <c r="L6" s="21" t="e">
        <f t="shared" si="2"/>
        <v>#REF!</v>
      </c>
      <c r="M6" s="21">
        <f t="shared" si="2"/>
        <v>103</v>
      </c>
      <c r="N6" s="21">
        <f t="shared" si="2"/>
        <v>60</v>
      </c>
      <c r="O6" s="21">
        <f t="shared" si="2"/>
        <v>65</v>
      </c>
    </row>
    <row r="7" spans="1:15" s="21" customFormat="1" ht="15.75" customHeight="1">
      <c r="A7" s="42" t="s">
        <v>15</v>
      </c>
      <c r="B7" s="35">
        <f t="shared" ref="B7:B41" si="3">+CEILING(I7+J7+K7,10)</f>
        <v>0</v>
      </c>
      <c r="C7" s="43" t="e">
        <f t="shared" si="0"/>
        <v>#REF!</v>
      </c>
      <c r="D7" s="37">
        <f>+Shepparton!D7</f>
        <v>5470</v>
      </c>
      <c r="E7" s="37">
        <f>+Shepparton!E7</f>
        <v>2295</v>
      </c>
      <c r="F7" s="38" t="e">
        <f t="shared" si="1"/>
        <v>#REF!</v>
      </c>
      <c r="G7" s="37" t="e">
        <f>+Shepparton!#REF!</f>
        <v>#REF!</v>
      </c>
      <c r="H7" s="20"/>
      <c r="I7" s="39">
        <f>+'Fast Key'!BC16</f>
        <v>0</v>
      </c>
      <c r="J7" s="21">
        <f t="shared" si="2"/>
        <v>0</v>
      </c>
      <c r="K7" s="21">
        <f>+'Fast Key'!BD16</f>
        <v>0</v>
      </c>
      <c r="L7" s="21" t="e">
        <f t="shared" si="2"/>
        <v>#REF!</v>
      </c>
      <c r="M7" s="21">
        <f t="shared" si="2"/>
        <v>103</v>
      </c>
      <c r="N7" s="21">
        <f t="shared" si="2"/>
        <v>60</v>
      </c>
      <c r="O7" s="21">
        <f t="shared" si="2"/>
        <v>65</v>
      </c>
    </row>
    <row r="8" spans="1:15" s="21" customFormat="1" ht="15.75" customHeight="1">
      <c r="A8" s="42" t="s">
        <v>16</v>
      </c>
      <c r="B8" s="35">
        <f t="shared" si="3"/>
        <v>0</v>
      </c>
      <c r="C8" s="43" t="e">
        <f t="shared" si="0"/>
        <v>#REF!</v>
      </c>
      <c r="D8" s="37">
        <f>+Shepparton!D8</f>
        <v>5865</v>
      </c>
      <c r="E8" s="37">
        <f>+Shepparton!E8</f>
        <v>3715</v>
      </c>
      <c r="F8" s="38" t="e">
        <f t="shared" si="1"/>
        <v>#REF!</v>
      </c>
      <c r="G8" s="37" t="e">
        <f>+Shepparton!#REF!</f>
        <v>#REF!</v>
      </c>
      <c r="H8" s="20"/>
      <c r="I8" s="39">
        <f>+'Fast Key'!BC17</f>
        <v>0</v>
      </c>
      <c r="J8" s="21">
        <f t="shared" si="2"/>
        <v>0</v>
      </c>
      <c r="K8" s="21">
        <f>+'Fast Key'!BD17</f>
        <v>0</v>
      </c>
      <c r="L8" s="21" t="e">
        <f t="shared" si="2"/>
        <v>#REF!</v>
      </c>
      <c r="M8" s="21">
        <f t="shared" si="2"/>
        <v>103</v>
      </c>
      <c r="N8" s="21">
        <f t="shared" si="2"/>
        <v>60</v>
      </c>
      <c r="O8" s="21">
        <f t="shared" si="2"/>
        <v>65</v>
      </c>
    </row>
    <row r="9" spans="1:15" s="21" customFormat="1" ht="15.75" customHeight="1">
      <c r="A9" s="42" t="s">
        <v>17</v>
      </c>
      <c r="B9" s="35">
        <f t="shared" si="3"/>
        <v>0</v>
      </c>
      <c r="C9" s="43" t="e">
        <f t="shared" si="0"/>
        <v>#REF!</v>
      </c>
      <c r="D9" s="37">
        <f>+Shepparton!D9</f>
        <v>5590</v>
      </c>
      <c r="E9" s="37">
        <f>+Shepparton!E9</f>
        <v>3875</v>
      </c>
      <c r="F9" s="38" t="e">
        <f t="shared" si="1"/>
        <v>#REF!</v>
      </c>
      <c r="G9" s="37" t="e">
        <f>+Shepparton!#REF!</f>
        <v>#REF!</v>
      </c>
      <c r="H9" s="20"/>
      <c r="I9" s="39">
        <f>+'Fast Key'!BC18</f>
        <v>0</v>
      </c>
      <c r="J9" s="21">
        <f t="shared" si="2"/>
        <v>0</v>
      </c>
      <c r="K9" s="21">
        <f>+'Fast Key'!BD18</f>
        <v>0</v>
      </c>
      <c r="L9" s="21" t="e">
        <f t="shared" si="2"/>
        <v>#REF!</v>
      </c>
      <c r="M9" s="21">
        <f t="shared" si="2"/>
        <v>103</v>
      </c>
      <c r="N9" s="21">
        <f t="shared" si="2"/>
        <v>60</v>
      </c>
      <c r="O9" s="21">
        <f t="shared" si="2"/>
        <v>65</v>
      </c>
    </row>
    <row r="10" spans="1:15" s="21" customFormat="1" ht="15.75" customHeight="1">
      <c r="A10" s="42" t="s">
        <v>18</v>
      </c>
      <c r="B10" s="35">
        <f t="shared" si="3"/>
        <v>0</v>
      </c>
      <c r="C10" s="43" t="e">
        <f t="shared" si="0"/>
        <v>#REF!</v>
      </c>
      <c r="D10" s="37">
        <f>+Shepparton!D10</f>
        <v>7320</v>
      </c>
      <c r="E10" s="37">
        <f>+Shepparton!E10</f>
        <v>4435</v>
      </c>
      <c r="F10" s="38" t="e">
        <f t="shared" si="1"/>
        <v>#REF!</v>
      </c>
      <c r="G10" s="37" t="e">
        <f>+Shepparton!#REF!</f>
        <v>#REF!</v>
      </c>
      <c r="H10" s="20"/>
      <c r="I10" s="39">
        <f>+'Fast Key'!BC19</f>
        <v>0</v>
      </c>
      <c r="J10" s="21">
        <f t="shared" si="2"/>
        <v>0</v>
      </c>
      <c r="K10" s="21">
        <f>+'Fast Key'!BD19</f>
        <v>0</v>
      </c>
      <c r="L10" s="21" t="e">
        <f t="shared" si="2"/>
        <v>#REF!</v>
      </c>
      <c r="M10" s="21">
        <f t="shared" si="2"/>
        <v>103</v>
      </c>
      <c r="N10" s="21">
        <f t="shared" si="2"/>
        <v>60</v>
      </c>
      <c r="O10" s="21">
        <f t="shared" si="2"/>
        <v>65</v>
      </c>
    </row>
    <row r="11" spans="1:15" s="21" customFormat="1" ht="15.75" customHeight="1">
      <c r="A11" s="42" t="s">
        <v>1074</v>
      </c>
      <c r="B11" s="35">
        <f t="shared" ref="B11:B12" si="4">+CEILING(I11+J11+K11,10)</f>
        <v>0</v>
      </c>
      <c r="C11" s="43" t="e">
        <f t="shared" ref="C11:C12" si="5">+L11</f>
        <v>#REF!</v>
      </c>
      <c r="D11" s="37">
        <f>+Shepparton!D11</f>
        <v>7185</v>
      </c>
      <c r="E11" s="37">
        <f>+Shepparton!E11</f>
        <v>5395</v>
      </c>
      <c r="F11" s="38" t="e">
        <f t="shared" ref="F11:F12" si="6">SUM(B11:E11)</f>
        <v>#REF!</v>
      </c>
      <c r="G11" s="37" t="e">
        <f>+Shepparton!#REF!</f>
        <v>#REF!</v>
      </c>
      <c r="H11" s="20"/>
      <c r="I11" s="39">
        <f>+'Fast Key'!BC20</f>
        <v>0</v>
      </c>
      <c r="J11" s="21">
        <f t="shared" ref="J11" si="7">+J10</f>
        <v>0</v>
      </c>
      <c r="K11" s="21">
        <f>+'Fast Key'!BD20</f>
        <v>0</v>
      </c>
      <c r="L11" s="21" t="e">
        <f t="shared" ref="L11:O11" si="8">+L10</f>
        <v>#REF!</v>
      </c>
      <c r="M11" s="21">
        <f t="shared" si="8"/>
        <v>103</v>
      </c>
      <c r="N11" s="21">
        <f t="shared" si="8"/>
        <v>60</v>
      </c>
      <c r="O11" s="21">
        <f t="shared" si="8"/>
        <v>65</v>
      </c>
    </row>
    <row r="12" spans="1:15" s="21" customFormat="1" ht="15.75" customHeight="1">
      <c r="A12" s="42" t="s">
        <v>19</v>
      </c>
      <c r="B12" s="35">
        <f t="shared" si="4"/>
        <v>0</v>
      </c>
      <c r="C12" s="43" t="e">
        <f t="shared" si="5"/>
        <v>#REF!</v>
      </c>
      <c r="D12" s="37">
        <f>+Shepparton!D12</f>
        <v>0</v>
      </c>
      <c r="E12" s="37">
        <f>+Shepparton!E12</f>
        <v>0</v>
      </c>
      <c r="F12" s="38" t="e">
        <f t="shared" si="6"/>
        <v>#REF!</v>
      </c>
      <c r="G12" s="37" t="e">
        <f>+Shepparton!#REF!</f>
        <v>#REF!</v>
      </c>
      <c r="H12" s="20"/>
      <c r="I12" s="39">
        <f>+'Fast Key'!BC21</f>
        <v>0</v>
      </c>
      <c r="J12" s="21">
        <f t="shared" ref="J12" si="9">+J11</f>
        <v>0</v>
      </c>
      <c r="K12" s="21">
        <f>+'Fast Key'!BD21</f>
        <v>0</v>
      </c>
      <c r="L12" s="21" t="e">
        <f t="shared" ref="L12:O12" si="10">+L11</f>
        <v>#REF!</v>
      </c>
      <c r="M12" s="21">
        <f t="shared" si="10"/>
        <v>103</v>
      </c>
      <c r="N12" s="21">
        <f t="shared" si="10"/>
        <v>60</v>
      </c>
      <c r="O12" s="21">
        <f t="shared" si="10"/>
        <v>65</v>
      </c>
    </row>
    <row r="13" spans="1:15" s="21" customFormat="1" ht="15.75" customHeight="1">
      <c r="A13" s="42" t="s">
        <v>20</v>
      </c>
      <c r="B13" s="35">
        <f t="shared" si="3"/>
        <v>0</v>
      </c>
      <c r="C13" s="43" t="e">
        <f t="shared" si="0"/>
        <v>#REF!</v>
      </c>
      <c r="D13" s="37">
        <f>+Shepparton!D13</f>
        <v>0</v>
      </c>
      <c r="E13" s="37">
        <f>+Shepparton!E13</f>
        <v>0</v>
      </c>
      <c r="F13" s="38" t="e">
        <f t="shared" si="1"/>
        <v>#REF!</v>
      </c>
      <c r="G13" s="37" t="e">
        <f>+Shepparton!#REF!</f>
        <v>#REF!</v>
      </c>
      <c r="H13" s="20"/>
      <c r="I13" s="39">
        <f>+'Fast Key'!BC22</f>
        <v>0</v>
      </c>
      <c r="J13" s="21">
        <f t="shared" si="2"/>
        <v>0</v>
      </c>
      <c r="K13" s="21">
        <f>+'Fast Key'!BD22</f>
        <v>0</v>
      </c>
      <c r="L13" s="21" t="e">
        <f t="shared" si="2"/>
        <v>#REF!</v>
      </c>
      <c r="M13" s="21">
        <f t="shared" si="2"/>
        <v>103</v>
      </c>
      <c r="N13" s="21">
        <f t="shared" si="2"/>
        <v>60</v>
      </c>
      <c r="O13" s="21">
        <f t="shared" si="2"/>
        <v>65</v>
      </c>
    </row>
    <row r="14" spans="1:15" s="21" customFormat="1" ht="15.75" customHeight="1">
      <c r="A14" s="42" t="s">
        <v>1058</v>
      </c>
      <c r="B14" s="35">
        <f t="shared" si="3"/>
        <v>0</v>
      </c>
      <c r="C14" s="43" t="e">
        <f t="shared" ref="C14" si="11">+L14</f>
        <v>#REF!</v>
      </c>
      <c r="D14" s="37">
        <f>+Shepparton!D14</f>
        <v>0</v>
      </c>
      <c r="E14" s="37">
        <f>+Shepparton!E14</f>
        <v>0</v>
      </c>
      <c r="F14" s="38" t="e">
        <f t="shared" ref="F14" si="12">SUM(B14:E14)</f>
        <v>#REF!</v>
      </c>
      <c r="G14" s="37" t="e">
        <f>+Shepparton!#REF!</f>
        <v>#REF!</v>
      </c>
      <c r="H14" s="20"/>
      <c r="I14" s="39">
        <f>+'Fast Key'!BC23</f>
        <v>0</v>
      </c>
      <c r="J14" s="21">
        <f t="shared" si="2"/>
        <v>0</v>
      </c>
      <c r="K14" s="21">
        <f>+'Fast Key'!BD23</f>
        <v>0</v>
      </c>
      <c r="L14" s="21" t="e">
        <f t="shared" si="2"/>
        <v>#REF!</v>
      </c>
      <c r="M14" s="21">
        <f t="shared" si="2"/>
        <v>103</v>
      </c>
      <c r="N14" s="21">
        <f t="shared" si="2"/>
        <v>60</v>
      </c>
      <c r="O14" s="21">
        <f t="shared" si="2"/>
        <v>65</v>
      </c>
    </row>
    <row r="15" spans="1:15" s="21" customFormat="1" ht="15.75" customHeight="1">
      <c r="A15" s="42" t="s">
        <v>21</v>
      </c>
      <c r="B15" s="35">
        <f t="shared" si="3"/>
        <v>0</v>
      </c>
      <c r="C15" s="43" t="e">
        <f t="shared" si="0"/>
        <v>#REF!</v>
      </c>
      <c r="D15" s="37">
        <f>+Shepparton!D15</f>
        <v>0</v>
      </c>
      <c r="E15" s="37">
        <f>+Shepparton!E15</f>
        <v>0</v>
      </c>
      <c r="F15" s="38" t="e">
        <f t="shared" si="1"/>
        <v>#REF!</v>
      </c>
      <c r="G15" s="37" t="e">
        <f>+Shepparton!#REF!</f>
        <v>#REF!</v>
      </c>
      <c r="H15" s="20"/>
      <c r="I15" s="39">
        <f>+'Fast Key'!BC24</f>
        <v>0</v>
      </c>
      <c r="J15" s="21">
        <f t="shared" ref="J15:O17" si="13">+J13</f>
        <v>0</v>
      </c>
      <c r="K15" s="21">
        <f>+'Fast Key'!BD24</f>
        <v>0</v>
      </c>
      <c r="L15" s="21" t="e">
        <f t="shared" si="13"/>
        <v>#REF!</v>
      </c>
      <c r="M15" s="21">
        <f t="shared" si="13"/>
        <v>103</v>
      </c>
      <c r="N15" s="21">
        <f t="shared" si="13"/>
        <v>60</v>
      </c>
      <c r="O15" s="21">
        <f t="shared" si="13"/>
        <v>65</v>
      </c>
    </row>
    <row r="16" spans="1:15" s="21" customFormat="1" ht="15.75" customHeight="1">
      <c r="A16" s="42" t="s">
        <v>1064</v>
      </c>
      <c r="B16" s="35">
        <f t="shared" si="3"/>
        <v>0</v>
      </c>
      <c r="C16" s="43" t="e">
        <f t="shared" ref="C16" si="14">+L16</f>
        <v>#REF!</v>
      </c>
      <c r="D16" s="37">
        <f>+Shepparton!D16</f>
        <v>0</v>
      </c>
      <c r="E16" s="37">
        <f>+Shepparton!E16</f>
        <v>0</v>
      </c>
      <c r="F16" s="38" t="e">
        <f t="shared" ref="F16" si="15">SUM(B16:E16)</f>
        <v>#REF!</v>
      </c>
      <c r="G16" s="37" t="e">
        <f>+Shepparton!#REF!</f>
        <v>#REF!</v>
      </c>
      <c r="H16" s="20"/>
      <c r="I16" s="39">
        <f>+'Fast Key'!BC25</f>
        <v>0</v>
      </c>
      <c r="J16" s="21">
        <f t="shared" si="13"/>
        <v>0</v>
      </c>
      <c r="K16" s="21">
        <f>+'Fast Key'!BD25</f>
        <v>0</v>
      </c>
      <c r="L16" s="21" t="e">
        <f t="shared" si="13"/>
        <v>#REF!</v>
      </c>
      <c r="M16" s="21">
        <f t="shared" si="13"/>
        <v>103</v>
      </c>
      <c r="N16" s="21">
        <f t="shared" si="13"/>
        <v>60</v>
      </c>
      <c r="O16" s="21">
        <f t="shared" si="13"/>
        <v>65</v>
      </c>
    </row>
    <row r="17" spans="1:15" s="21" customFormat="1" ht="15.75" customHeight="1">
      <c r="A17" s="42" t="s">
        <v>22</v>
      </c>
      <c r="B17" s="35">
        <f t="shared" si="3"/>
        <v>0</v>
      </c>
      <c r="C17" s="43" t="e">
        <f t="shared" si="0"/>
        <v>#REF!</v>
      </c>
      <c r="D17" s="37" t="e">
        <f>+Shepparton!#REF!</f>
        <v>#REF!</v>
      </c>
      <c r="E17" s="37" t="e">
        <f>+Shepparton!#REF!</f>
        <v>#REF!</v>
      </c>
      <c r="F17" s="38" t="e">
        <f t="shared" si="1"/>
        <v>#REF!</v>
      </c>
      <c r="G17" s="37" t="e">
        <f>+Shepparton!#REF!</f>
        <v>#REF!</v>
      </c>
      <c r="H17" s="20"/>
      <c r="I17" s="39">
        <f>+'Fast Key'!BC26</f>
        <v>0</v>
      </c>
      <c r="J17" s="21">
        <f t="shared" si="13"/>
        <v>0</v>
      </c>
      <c r="K17" s="21">
        <f>+'Fast Key'!BD26</f>
        <v>0</v>
      </c>
      <c r="L17" s="21" t="e">
        <f t="shared" si="13"/>
        <v>#REF!</v>
      </c>
      <c r="M17" s="21">
        <f t="shared" si="13"/>
        <v>103</v>
      </c>
      <c r="N17" s="21">
        <f t="shared" si="13"/>
        <v>60</v>
      </c>
      <c r="O17" s="21">
        <f t="shared" si="13"/>
        <v>65</v>
      </c>
    </row>
    <row r="18" spans="1:15" s="21" customFormat="1" ht="15.75" customHeight="1">
      <c r="A18" s="42" t="s">
        <v>23</v>
      </c>
      <c r="B18" s="35">
        <f t="shared" si="3"/>
        <v>0</v>
      </c>
      <c r="C18" s="43" t="e">
        <f t="shared" si="0"/>
        <v>#REF!</v>
      </c>
      <c r="D18" s="37" t="e">
        <f>+Shepparton!#REF!</f>
        <v>#REF!</v>
      </c>
      <c r="E18" s="37" t="e">
        <f>+Shepparton!#REF!</f>
        <v>#REF!</v>
      </c>
      <c r="F18" s="38" t="e">
        <f t="shared" si="1"/>
        <v>#REF!</v>
      </c>
      <c r="G18" s="37" t="e">
        <f>+Shepparton!#REF!</f>
        <v>#REF!</v>
      </c>
      <c r="H18" s="20"/>
      <c r="I18" s="39">
        <f>+'Fast Key'!BC27</f>
        <v>0</v>
      </c>
      <c r="J18" s="21">
        <f t="shared" si="2"/>
        <v>0</v>
      </c>
      <c r="K18" s="21">
        <f>+'Fast Key'!BD27</f>
        <v>0</v>
      </c>
      <c r="L18" s="21" t="e">
        <f t="shared" si="2"/>
        <v>#REF!</v>
      </c>
      <c r="M18" s="21">
        <f t="shared" si="2"/>
        <v>103</v>
      </c>
      <c r="N18" s="21">
        <f t="shared" si="2"/>
        <v>60</v>
      </c>
      <c r="O18" s="21">
        <f t="shared" si="2"/>
        <v>65</v>
      </c>
    </row>
    <row r="19" spans="1:15" s="21" customFormat="1" ht="15.75" customHeight="1">
      <c r="A19" s="42" t="s">
        <v>24</v>
      </c>
      <c r="B19" s="35">
        <f t="shared" si="3"/>
        <v>0</v>
      </c>
      <c r="C19" s="43" t="e">
        <f t="shared" si="0"/>
        <v>#REF!</v>
      </c>
      <c r="D19" s="37" t="e">
        <f>+Shepparton!#REF!</f>
        <v>#REF!</v>
      </c>
      <c r="E19" s="37" t="e">
        <f>+Shepparton!#REF!</f>
        <v>#REF!</v>
      </c>
      <c r="F19" s="38" t="e">
        <f t="shared" si="1"/>
        <v>#REF!</v>
      </c>
      <c r="G19" s="37" t="e">
        <f>+Shepparton!#REF!</f>
        <v>#REF!</v>
      </c>
      <c r="H19" s="20"/>
      <c r="I19" s="39">
        <f>+'Fast Key'!BC28</f>
        <v>0</v>
      </c>
      <c r="J19" s="21">
        <f t="shared" si="2"/>
        <v>0</v>
      </c>
      <c r="K19" s="21">
        <f>+'Fast Key'!BD28</f>
        <v>0</v>
      </c>
      <c r="L19" s="21" t="e">
        <f t="shared" si="2"/>
        <v>#REF!</v>
      </c>
      <c r="M19" s="21">
        <f t="shared" si="2"/>
        <v>103</v>
      </c>
      <c r="N19" s="21">
        <f t="shared" si="2"/>
        <v>60</v>
      </c>
      <c r="O19" s="21">
        <f t="shared" si="2"/>
        <v>65</v>
      </c>
    </row>
    <row r="20" spans="1:15" s="21" customFormat="1" ht="15.75" customHeight="1">
      <c r="A20" s="42" t="s">
        <v>25</v>
      </c>
      <c r="B20" s="35">
        <f t="shared" si="3"/>
        <v>0</v>
      </c>
      <c r="C20" s="43" t="e">
        <f t="shared" si="0"/>
        <v>#REF!</v>
      </c>
      <c r="D20" s="37" t="e">
        <f>+Shepparton!#REF!</f>
        <v>#REF!</v>
      </c>
      <c r="E20" s="37" t="e">
        <f>+Shepparton!#REF!</f>
        <v>#REF!</v>
      </c>
      <c r="F20" s="38" t="e">
        <f t="shared" si="1"/>
        <v>#REF!</v>
      </c>
      <c r="G20" s="37" t="e">
        <f>+Shepparton!#REF!</f>
        <v>#REF!</v>
      </c>
      <c r="H20" s="20"/>
      <c r="I20" s="39">
        <f>+'Fast Key'!BC29</f>
        <v>0</v>
      </c>
      <c r="J20" s="21">
        <f t="shared" si="2"/>
        <v>0</v>
      </c>
      <c r="K20" s="21">
        <f>+'Fast Key'!BD29</f>
        <v>0</v>
      </c>
      <c r="L20" s="21" t="e">
        <f t="shared" si="2"/>
        <v>#REF!</v>
      </c>
      <c r="M20" s="21">
        <f t="shared" si="2"/>
        <v>103</v>
      </c>
      <c r="N20" s="21">
        <f t="shared" si="2"/>
        <v>60</v>
      </c>
      <c r="O20" s="21">
        <f t="shared" si="2"/>
        <v>65</v>
      </c>
    </row>
    <row r="21" spans="1:15" s="21" customFormat="1" ht="15.75" customHeight="1">
      <c r="A21" s="42" t="s">
        <v>26</v>
      </c>
      <c r="B21" s="35">
        <f t="shared" si="3"/>
        <v>0</v>
      </c>
      <c r="C21" s="43" t="e">
        <f t="shared" si="0"/>
        <v>#REF!</v>
      </c>
      <c r="D21" s="37" t="e">
        <f>+Shepparton!#REF!</f>
        <v>#REF!</v>
      </c>
      <c r="E21" s="37" t="e">
        <f>+Shepparton!#REF!</f>
        <v>#REF!</v>
      </c>
      <c r="F21" s="38" t="e">
        <f t="shared" si="1"/>
        <v>#REF!</v>
      </c>
      <c r="G21" s="37" t="e">
        <f>+Shepparton!#REF!</f>
        <v>#REF!</v>
      </c>
      <c r="H21" s="20"/>
      <c r="I21" s="39">
        <f>+'Fast Key'!BC30</f>
        <v>0</v>
      </c>
      <c r="J21" s="21">
        <f t="shared" si="2"/>
        <v>0</v>
      </c>
      <c r="K21" s="21">
        <f>+'Fast Key'!BD30</f>
        <v>0</v>
      </c>
      <c r="L21" s="21" t="e">
        <f t="shared" si="2"/>
        <v>#REF!</v>
      </c>
      <c r="M21" s="21">
        <f t="shared" si="2"/>
        <v>103</v>
      </c>
      <c r="N21" s="21">
        <f t="shared" si="2"/>
        <v>60</v>
      </c>
      <c r="O21" s="21">
        <f t="shared" si="2"/>
        <v>65</v>
      </c>
    </row>
    <row r="22" spans="1:15" s="21" customFormat="1" ht="15.75" customHeight="1">
      <c r="A22" s="42" t="s">
        <v>27</v>
      </c>
      <c r="B22" s="35">
        <f t="shared" si="3"/>
        <v>0</v>
      </c>
      <c r="C22" s="43" t="e">
        <f t="shared" si="0"/>
        <v>#REF!</v>
      </c>
      <c r="D22" s="37" t="e">
        <f>+Shepparton!#REF!</f>
        <v>#REF!</v>
      </c>
      <c r="E22" s="37" t="e">
        <f>+Shepparton!#REF!</f>
        <v>#REF!</v>
      </c>
      <c r="F22" s="38" t="e">
        <f t="shared" si="1"/>
        <v>#REF!</v>
      </c>
      <c r="G22" s="37" t="e">
        <f>+Shepparton!#REF!</f>
        <v>#REF!</v>
      </c>
      <c r="H22" s="20"/>
      <c r="I22" s="39">
        <f>+'Fast Key'!BC31</f>
        <v>0</v>
      </c>
      <c r="J22" s="21">
        <f t="shared" si="2"/>
        <v>0</v>
      </c>
      <c r="K22" s="21">
        <f>+'Fast Key'!BD31</f>
        <v>0</v>
      </c>
      <c r="L22" s="21" t="e">
        <f t="shared" si="2"/>
        <v>#REF!</v>
      </c>
      <c r="M22" s="21">
        <f t="shared" si="2"/>
        <v>103</v>
      </c>
      <c r="N22" s="21">
        <f t="shared" si="2"/>
        <v>60</v>
      </c>
      <c r="O22" s="21">
        <f t="shared" si="2"/>
        <v>65</v>
      </c>
    </row>
    <row r="23" spans="1:15" s="21" customFormat="1" ht="15.75" customHeight="1">
      <c r="A23" s="42" t="s">
        <v>1023</v>
      </c>
      <c r="B23" s="35">
        <f t="shared" si="3"/>
        <v>0</v>
      </c>
      <c r="C23" s="43" t="e">
        <f t="shared" ref="C23" si="16">+L23</f>
        <v>#REF!</v>
      </c>
      <c r="D23" s="37" t="e">
        <f>+Shepparton!#REF!</f>
        <v>#REF!</v>
      </c>
      <c r="E23" s="37" t="e">
        <f>+Shepparton!#REF!</f>
        <v>#REF!</v>
      </c>
      <c r="F23" s="38" t="e">
        <f t="shared" ref="F23" si="17">SUM(B23:E23)</f>
        <v>#REF!</v>
      </c>
      <c r="G23" s="37" t="e">
        <f>+Shepparton!#REF!</f>
        <v>#REF!</v>
      </c>
      <c r="H23" s="20"/>
      <c r="I23" s="39">
        <f>+'Fast Key'!BC32</f>
        <v>0</v>
      </c>
      <c r="J23" s="21">
        <f t="shared" ref="J23:O23" si="18">+J22</f>
        <v>0</v>
      </c>
      <c r="K23" s="21">
        <f>+'Fast Key'!BD32</f>
        <v>0</v>
      </c>
      <c r="L23" s="21" t="e">
        <f t="shared" si="18"/>
        <v>#REF!</v>
      </c>
      <c r="M23" s="21">
        <f t="shared" si="18"/>
        <v>103</v>
      </c>
      <c r="N23" s="21">
        <f t="shared" si="18"/>
        <v>60</v>
      </c>
      <c r="O23" s="21">
        <f t="shared" si="18"/>
        <v>65</v>
      </c>
    </row>
    <row r="24" spans="1:15" s="21" customFormat="1" ht="15.75" customHeight="1">
      <c r="A24" s="42" t="s">
        <v>684</v>
      </c>
      <c r="B24" s="35">
        <f t="shared" si="3"/>
        <v>0</v>
      </c>
      <c r="C24" s="43" t="e">
        <f t="shared" si="0"/>
        <v>#REF!</v>
      </c>
      <c r="D24" s="37" t="e">
        <f>+Shepparton!#REF!</f>
        <v>#REF!</v>
      </c>
      <c r="E24" s="37" t="e">
        <f>+Shepparton!#REF!</f>
        <v>#REF!</v>
      </c>
      <c r="F24" s="38" t="e">
        <f t="shared" si="1"/>
        <v>#REF!</v>
      </c>
      <c r="G24" s="37" t="e">
        <f>+Shepparton!#REF!</f>
        <v>#REF!</v>
      </c>
      <c r="H24" s="20"/>
      <c r="I24" s="39">
        <f>+'Fast Key'!BC33</f>
        <v>0</v>
      </c>
      <c r="J24" s="21">
        <f t="shared" ref="J24:O24" si="19">+J23</f>
        <v>0</v>
      </c>
      <c r="K24" s="21">
        <f>+'Fast Key'!BD33</f>
        <v>0</v>
      </c>
      <c r="L24" s="21" t="e">
        <f t="shared" si="19"/>
        <v>#REF!</v>
      </c>
      <c r="M24" s="21">
        <f t="shared" si="19"/>
        <v>103</v>
      </c>
      <c r="N24" s="21">
        <f t="shared" si="19"/>
        <v>60</v>
      </c>
      <c r="O24" s="21">
        <f t="shared" si="19"/>
        <v>65</v>
      </c>
    </row>
    <row r="25" spans="1:15" s="21" customFormat="1" ht="15.75" customHeight="1">
      <c r="A25" s="42" t="s">
        <v>28</v>
      </c>
      <c r="B25" s="35">
        <f t="shared" si="3"/>
        <v>0</v>
      </c>
      <c r="C25" s="43" t="e">
        <f t="shared" si="0"/>
        <v>#REF!</v>
      </c>
      <c r="D25" s="37" t="e">
        <f>+Shepparton!#REF!</f>
        <v>#REF!</v>
      </c>
      <c r="E25" s="37" t="e">
        <f>+Shepparton!#REF!</f>
        <v>#REF!</v>
      </c>
      <c r="F25" s="38" t="e">
        <f t="shared" si="1"/>
        <v>#REF!</v>
      </c>
      <c r="G25" s="37" t="e">
        <f>+Shepparton!#REF!</f>
        <v>#REF!</v>
      </c>
      <c r="H25" s="20"/>
      <c r="I25" s="39">
        <f>+'Fast Key'!BC34</f>
        <v>0</v>
      </c>
      <c r="J25" s="21">
        <f t="shared" si="2"/>
        <v>0</v>
      </c>
      <c r="K25" s="21">
        <f>+'Fast Key'!BD34</f>
        <v>0</v>
      </c>
      <c r="L25" s="21" t="e">
        <f t="shared" si="2"/>
        <v>#REF!</v>
      </c>
      <c r="M25" s="21">
        <f t="shared" si="2"/>
        <v>103</v>
      </c>
      <c r="N25" s="21">
        <f t="shared" si="2"/>
        <v>60</v>
      </c>
      <c r="O25" s="21">
        <f t="shared" si="2"/>
        <v>65</v>
      </c>
    </row>
    <row r="26" spans="1:15" s="21" customFormat="1" ht="15.75" customHeight="1">
      <c r="A26" s="42" t="s">
        <v>989</v>
      </c>
      <c r="B26" s="35">
        <f t="shared" si="3"/>
        <v>0</v>
      </c>
      <c r="C26" s="43" t="e">
        <f>+L26</f>
        <v>#REF!</v>
      </c>
      <c r="D26" s="37" t="e">
        <f>+Shepparton!#REF!</f>
        <v>#REF!</v>
      </c>
      <c r="E26" s="37" t="e">
        <f>+Shepparton!#REF!</f>
        <v>#REF!</v>
      </c>
      <c r="F26" s="38" t="e">
        <f>SUM(B26:E26)</f>
        <v>#REF!</v>
      </c>
      <c r="G26" s="37" t="e">
        <f>+Shepparton!#REF!</f>
        <v>#REF!</v>
      </c>
      <c r="H26" s="20"/>
      <c r="I26" s="39">
        <f>+'Fast Key'!BC35</f>
        <v>0</v>
      </c>
      <c r="J26" s="21">
        <f t="shared" si="2"/>
        <v>0</v>
      </c>
      <c r="K26" s="21">
        <f>+'Fast Key'!BD35</f>
        <v>0</v>
      </c>
      <c r="L26" s="21" t="e">
        <f t="shared" si="2"/>
        <v>#REF!</v>
      </c>
      <c r="M26" s="21">
        <f t="shared" si="2"/>
        <v>103</v>
      </c>
      <c r="N26" s="21">
        <f t="shared" si="2"/>
        <v>60</v>
      </c>
      <c r="O26" s="21">
        <f t="shared" si="2"/>
        <v>65</v>
      </c>
    </row>
    <row r="27" spans="1:15" s="21" customFormat="1" ht="15.75" customHeight="1">
      <c r="A27" s="42" t="s">
        <v>685</v>
      </c>
      <c r="B27" s="35">
        <f t="shared" si="3"/>
        <v>0</v>
      </c>
      <c r="C27" s="43" t="e">
        <f t="shared" si="0"/>
        <v>#REF!</v>
      </c>
      <c r="D27" s="37" t="e">
        <f>+Shepparton!#REF!</f>
        <v>#REF!</v>
      </c>
      <c r="E27" s="37" t="e">
        <f>+Shepparton!#REF!</f>
        <v>#REF!</v>
      </c>
      <c r="F27" s="38" t="e">
        <f t="shared" si="1"/>
        <v>#REF!</v>
      </c>
      <c r="G27" s="37" t="e">
        <f>+Shepparton!#REF!</f>
        <v>#REF!</v>
      </c>
      <c r="H27" s="20"/>
      <c r="I27" s="39">
        <f>+'Fast Key'!BC36</f>
        <v>0</v>
      </c>
      <c r="J27" s="21">
        <f>+J25</f>
        <v>0</v>
      </c>
      <c r="K27" s="21">
        <f>+'Fast Key'!BD36</f>
        <v>0</v>
      </c>
      <c r="L27" s="21" t="e">
        <f>+L25</f>
        <v>#REF!</v>
      </c>
      <c r="M27" s="21">
        <f>+M25</f>
        <v>103</v>
      </c>
      <c r="N27" s="21">
        <f>+N25</f>
        <v>60</v>
      </c>
      <c r="O27" s="21">
        <f>+O25</f>
        <v>65</v>
      </c>
    </row>
    <row r="28" spans="1:15" s="21" customFormat="1" ht="15.75" customHeight="1">
      <c r="A28" s="42" t="s">
        <v>686</v>
      </c>
      <c r="B28" s="35">
        <f t="shared" si="3"/>
        <v>0</v>
      </c>
      <c r="C28" s="43" t="e">
        <f t="shared" si="0"/>
        <v>#REF!</v>
      </c>
      <c r="D28" s="37" t="e">
        <f>+Shepparton!#REF!</f>
        <v>#REF!</v>
      </c>
      <c r="E28" s="37" t="e">
        <f>+Shepparton!#REF!</f>
        <v>#REF!</v>
      </c>
      <c r="F28" s="38" t="e">
        <f t="shared" si="1"/>
        <v>#REF!</v>
      </c>
      <c r="G28" s="37" t="e">
        <f>+Shepparton!#REF!</f>
        <v>#REF!</v>
      </c>
      <c r="H28" s="20"/>
      <c r="I28" s="39">
        <f>+'Fast Key'!BC37</f>
        <v>0</v>
      </c>
      <c r="J28" s="21">
        <f t="shared" ref="J28:O41" si="20">+J27</f>
        <v>0</v>
      </c>
      <c r="K28" s="21">
        <f>+'Fast Key'!BD37</f>
        <v>0</v>
      </c>
      <c r="L28" s="21" t="e">
        <f t="shared" si="20"/>
        <v>#REF!</v>
      </c>
      <c r="M28" s="21">
        <f t="shared" si="20"/>
        <v>103</v>
      </c>
      <c r="N28" s="21">
        <f t="shared" si="20"/>
        <v>60</v>
      </c>
      <c r="O28" s="21">
        <f t="shared" si="20"/>
        <v>65</v>
      </c>
    </row>
    <row r="29" spans="1:15" s="21" customFormat="1" ht="15.75" customHeight="1">
      <c r="A29" s="42">
        <f>+'Fast Key'!A38</f>
        <v>0</v>
      </c>
      <c r="B29" s="35">
        <f t="shared" si="3"/>
        <v>0</v>
      </c>
      <c r="C29" s="43" t="e">
        <f t="shared" ref="C29:C32" si="21">+L29</f>
        <v>#REF!</v>
      </c>
      <c r="D29" s="37" t="e">
        <f>+Shepparton!#REF!</f>
        <v>#REF!</v>
      </c>
      <c r="E29" s="37" t="e">
        <f>+Shepparton!#REF!</f>
        <v>#REF!</v>
      </c>
      <c r="F29" s="38" t="e">
        <f t="shared" ref="F29:F32" si="22">SUM(B29:E29)</f>
        <v>#REF!</v>
      </c>
      <c r="G29" s="37" t="e">
        <f>+Shepparton!#REF!</f>
        <v>#REF!</v>
      </c>
      <c r="H29" s="20"/>
      <c r="I29" s="39">
        <f>+'Fast Key'!BC38</f>
        <v>0</v>
      </c>
      <c r="J29" s="21">
        <f t="shared" ref="J29:O29" si="23">+J28</f>
        <v>0</v>
      </c>
      <c r="K29" s="21">
        <f>+'Fast Key'!BD38</f>
        <v>0</v>
      </c>
      <c r="L29" s="21" t="e">
        <f t="shared" si="23"/>
        <v>#REF!</v>
      </c>
      <c r="M29" s="21">
        <f t="shared" si="23"/>
        <v>103</v>
      </c>
      <c r="N29" s="21">
        <f t="shared" si="23"/>
        <v>60</v>
      </c>
      <c r="O29" s="21">
        <f t="shared" si="23"/>
        <v>65</v>
      </c>
    </row>
    <row r="30" spans="1:15" s="21" customFormat="1" ht="15.75" customHeight="1">
      <c r="A30" s="42">
        <f>+'Fast Key'!A39</f>
        <v>0</v>
      </c>
      <c r="B30" s="35">
        <f t="shared" si="3"/>
        <v>0</v>
      </c>
      <c r="C30" s="43" t="e">
        <f t="shared" si="21"/>
        <v>#REF!</v>
      </c>
      <c r="D30" s="37" t="e">
        <f>+Shepparton!#REF!</f>
        <v>#REF!</v>
      </c>
      <c r="E30" s="37" t="e">
        <f>+Shepparton!#REF!</f>
        <v>#REF!</v>
      </c>
      <c r="F30" s="38" t="e">
        <f t="shared" si="22"/>
        <v>#REF!</v>
      </c>
      <c r="G30" s="37" t="e">
        <f>+Shepparton!#REF!</f>
        <v>#REF!</v>
      </c>
      <c r="H30" s="20"/>
      <c r="I30" s="39">
        <f>+'Fast Key'!BC39</f>
        <v>0</v>
      </c>
      <c r="J30" s="21">
        <f t="shared" ref="J30:O30" si="24">+J29</f>
        <v>0</v>
      </c>
      <c r="K30" s="21">
        <f>+'Fast Key'!BD39</f>
        <v>0</v>
      </c>
      <c r="L30" s="21" t="e">
        <f t="shared" si="24"/>
        <v>#REF!</v>
      </c>
      <c r="M30" s="21">
        <f t="shared" si="24"/>
        <v>103</v>
      </c>
      <c r="N30" s="21">
        <f t="shared" si="24"/>
        <v>60</v>
      </c>
      <c r="O30" s="21">
        <f t="shared" si="24"/>
        <v>65</v>
      </c>
    </row>
    <row r="31" spans="1:15" s="21" customFormat="1" ht="15.75" customHeight="1">
      <c r="A31" s="42">
        <f>+'Fast Key'!A40</f>
        <v>0</v>
      </c>
      <c r="B31" s="35">
        <f t="shared" si="3"/>
        <v>0</v>
      </c>
      <c r="C31" s="43" t="e">
        <f t="shared" si="21"/>
        <v>#REF!</v>
      </c>
      <c r="D31" s="37" t="e">
        <f>+Shepparton!#REF!</f>
        <v>#REF!</v>
      </c>
      <c r="E31" s="37" t="e">
        <f>+Shepparton!#REF!</f>
        <v>#REF!</v>
      </c>
      <c r="F31" s="38" t="e">
        <f t="shared" si="22"/>
        <v>#REF!</v>
      </c>
      <c r="G31" s="37" t="e">
        <f>+Shepparton!#REF!</f>
        <v>#REF!</v>
      </c>
      <c r="H31" s="20"/>
      <c r="I31" s="39">
        <f>+'Fast Key'!BC40</f>
        <v>0</v>
      </c>
      <c r="J31" s="21">
        <f t="shared" ref="J31:O31" si="25">+J30</f>
        <v>0</v>
      </c>
      <c r="K31" s="21">
        <f>+'Fast Key'!BD40</f>
        <v>0</v>
      </c>
      <c r="L31" s="21" t="e">
        <f t="shared" si="25"/>
        <v>#REF!</v>
      </c>
      <c r="M31" s="21">
        <f t="shared" si="25"/>
        <v>103</v>
      </c>
      <c r="N31" s="21">
        <f t="shared" si="25"/>
        <v>60</v>
      </c>
      <c r="O31" s="21">
        <f t="shared" si="25"/>
        <v>65</v>
      </c>
    </row>
    <row r="32" spans="1:15" s="21" customFormat="1" ht="15.75" customHeight="1">
      <c r="A32" s="42" t="s">
        <v>29</v>
      </c>
      <c r="B32" s="35">
        <f t="shared" si="3"/>
        <v>0</v>
      </c>
      <c r="C32" s="43" t="e">
        <f t="shared" si="21"/>
        <v>#REF!</v>
      </c>
      <c r="D32" s="37" t="e">
        <f>+Shepparton!#REF!</f>
        <v>#REF!</v>
      </c>
      <c r="E32" s="37" t="e">
        <f>+Shepparton!#REF!</f>
        <v>#REF!</v>
      </c>
      <c r="F32" s="38" t="e">
        <f t="shared" si="22"/>
        <v>#REF!</v>
      </c>
      <c r="G32" s="37" t="e">
        <f>+Shepparton!#REF!</f>
        <v>#REF!</v>
      </c>
      <c r="H32" s="20"/>
      <c r="I32" s="39">
        <f>+'Fast Key'!BC41</f>
        <v>0</v>
      </c>
      <c r="J32" s="21">
        <f t="shared" ref="J32:O32" si="26">+J31</f>
        <v>0</v>
      </c>
      <c r="K32" s="21">
        <f>+'Fast Key'!BD41</f>
        <v>0</v>
      </c>
      <c r="L32" s="21" t="e">
        <f t="shared" si="26"/>
        <v>#REF!</v>
      </c>
      <c r="M32" s="21">
        <f t="shared" si="26"/>
        <v>103</v>
      </c>
      <c r="N32" s="21">
        <f t="shared" si="26"/>
        <v>60</v>
      </c>
      <c r="O32" s="21">
        <f t="shared" si="26"/>
        <v>65</v>
      </c>
    </row>
    <row r="33" spans="1:15" s="21" customFormat="1" ht="15.75" customHeight="1">
      <c r="A33" s="42" t="s">
        <v>30</v>
      </c>
      <c r="B33" s="35">
        <f t="shared" si="3"/>
        <v>0</v>
      </c>
      <c r="C33" s="43" t="e">
        <f t="shared" si="0"/>
        <v>#REF!</v>
      </c>
      <c r="D33" s="37" t="e">
        <f>+Shepparton!#REF!</f>
        <v>#REF!</v>
      </c>
      <c r="E33" s="37" t="e">
        <f>+Shepparton!#REF!</f>
        <v>#REF!</v>
      </c>
      <c r="F33" s="38" t="e">
        <f t="shared" si="1"/>
        <v>#REF!</v>
      </c>
      <c r="G33" s="37" t="e">
        <f>+Shepparton!#REF!</f>
        <v>#REF!</v>
      </c>
      <c r="H33" s="20"/>
      <c r="I33" s="39">
        <f>+'Fast Key'!BC42</f>
        <v>0</v>
      </c>
      <c r="J33" s="21">
        <f t="shared" si="20"/>
        <v>0</v>
      </c>
      <c r="K33" s="21">
        <f>+'Fast Key'!BD42</f>
        <v>0</v>
      </c>
      <c r="L33" s="21" t="e">
        <f t="shared" si="20"/>
        <v>#REF!</v>
      </c>
      <c r="M33" s="21">
        <f t="shared" si="20"/>
        <v>103</v>
      </c>
      <c r="N33" s="21">
        <f t="shared" si="20"/>
        <v>60</v>
      </c>
      <c r="O33" s="21">
        <f t="shared" si="20"/>
        <v>65</v>
      </c>
    </row>
    <row r="34" spans="1:15" s="21" customFormat="1" ht="15.75" customHeight="1">
      <c r="A34" s="42" t="s">
        <v>31</v>
      </c>
      <c r="B34" s="35">
        <f t="shared" si="3"/>
        <v>0</v>
      </c>
      <c r="C34" s="43" t="e">
        <f t="shared" si="0"/>
        <v>#REF!</v>
      </c>
      <c r="D34" s="37" t="e">
        <f>+Shepparton!#REF!</f>
        <v>#REF!</v>
      </c>
      <c r="E34" s="37" t="e">
        <f>+Shepparton!#REF!</f>
        <v>#REF!</v>
      </c>
      <c r="F34" s="38" t="e">
        <f t="shared" si="1"/>
        <v>#REF!</v>
      </c>
      <c r="G34" s="37" t="e">
        <f>+Shepparton!#REF!</f>
        <v>#REF!</v>
      </c>
      <c r="H34" s="20"/>
      <c r="I34" s="39">
        <f>+'Fast Key'!BC43</f>
        <v>0</v>
      </c>
      <c r="J34" s="21">
        <f t="shared" si="20"/>
        <v>0</v>
      </c>
      <c r="K34" s="21">
        <f>+'Fast Key'!BD43</f>
        <v>0</v>
      </c>
      <c r="L34" s="21" t="e">
        <f t="shared" si="20"/>
        <v>#REF!</v>
      </c>
      <c r="M34" s="21">
        <f t="shared" si="20"/>
        <v>103</v>
      </c>
      <c r="N34" s="21">
        <f t="shared" si="20"/>
        <v>60</v>
      </c>
      <c r="O34" s="21">
        <f t="shared" si="20"/>
        <v>65</v>
      </c>
    </row>
    <row r="35" spans="1:15" s="21" customFormat="1" ht="15.75" customHeight="1">
      <c r="A35" s="42" t="s">
        <v>32</v>
      </c>
      <c r="B35" s="35">
        <f t="shared" si="3"/>
        <v>0</v>
      </c>
      <c r="C35" s="43" t="e">
        <f t="shared" si="0"/>
        <v>#REF!</v>
      </c>
      <c r="D35" s="37" t="e">
        <f>+Shepparton!#REF!</f>
        <v>#REF!</v>
      </c>
      <c r="E35" s="37" t="e">
        <f>+Shepparton!#REF!</f>
        <v>#REF!</v>
      </c>
      <c r="F35" s="38" t="e">
        <f t="shared" si="1"/>
        <v>#REF!</v>
      </c>
      <c r="G35" s="37" t="e">
        <f>+Shepparton!#REF!</f>
        <v>#REF!</v>
      </c>
      <c r="H35" s="20"/>
      <c r="I35" s="39">
        <f>+'Fast Key'!BC44</f>
        <v>0</v>
      </c>
      <c r="J35" s="21">
        <f t="shared" si="20"/>
        <v>0</v>
      </c>
      <c r="K35" s="21">
        <f>+'Fast Key'!BD44</f>
        <v>0</v>
      </c>
      <c r="L35" s="21" t="e">
        <f t="shared" si="20"/>
        <v>#REF!</v>
      </c>
      <c r="M35" s="21">
        <f t="shared" si="20"/>
        <v>103</v>
      </c>
      <c r="N35" s="21">
        <f t="shared" si="20"/>
        <v>60</v>
      </c>
      <c r="O35" s="21">
        <f t="shared" si="20"/>
        <v>65</v>
      </c>
    </row>
    <row r="36" spans="1:15" s="21" customFormat="1" ht="15.75" customHeight="1">
      <c r="A36" s="42" t="s">
        <v>33</v>
      </c>
      <c r="B36" s="35">
        <f t="shared" si="3"/>
        <v>0</v>
      </c>
      <c r="C36" s="43" t="e">
        <f t="shared" si="0"/>
        <v>#REF!</v>
      </c>
      <c r="D36" s="37" t="e">
        <f>+Shepparton!#REF!</f>
        <v>#REF!</v>
      </c>
      <c r="E36" s="37" t="e">
        <f>+Shepparton!#REF!</f>
        <v>#REF!</v>
      </c>
      <c r="F36" s="38" t="e">
        <f t="shared" si="1"/>
        <v>#REF!</v>
      </c>
      <c r="G36" s="37" t="e">
        <f>+Shepparton!#REF!</f>
        <v>#REF!</v>
      </c>
      <c r="H36" s="20"/>
      <c r="I36" s="39">
        <f>+'Fast Key'!BC45</f>
        <v>0</v>
      </c>
      <c r="J36" s="21">
        <f t="shared" si="20"/>
        <v>0</v>
      </c>
      <c r="K36" s="21">
        <f>+'Fast Key'!BD45</f>
        <v>0</v>
      </c>
      <c r="L36" s="21" t="e">
        <f t="shared" si="20"/>
        <v>#REF!</v>
      </c>
      <c r="M36" s="21">
        <f t="shared" si="20"/>
        <v>103</v>
      </c>
      <c r="N36" s="21">
        <f t="shared" si="20"/>
        <v>60</v>
      </c>
      <c r="O36" s="21">
        <f t="shared" si="20"/>
        <v>65</v>
      </c>
    </row>
    <row r="37" spans="1:15" s="21" customFormat="1" ht="15.75" customHeight="1">
      <c r="A37" s="42" t="s">
        <v>34</v>
      </c>
      <c r="B37" s="35">
        <f t="shared" si="3"/>
        <v>0</v>
      </c>
      <c r="C37" s="43" t="e">
        <f t="shared" si="0"/>
        <v>#REF!</v>
      </c>
      <c r="D37" s="37" t="e">
        <f>+Shepparton!#REF!</f>
        <v>#REF!</v>
      </c>
      <c r="E37" s="37" t="e">
        <f>+Shepparton!#REF!</f>
        <v>#REF!</v>
      </c>
      <c r="F37" s="38" t="e">
        <f t="shared" si="1"/>
        <v>#REF!</v>
      </c>
      <c r="G37" s="37" t="e">
        <f>+Shepparton!#REF!</f>
        <v>#REF!</v>
      </c>
      <c r="H37" s="20"/>
      <c r="I37" s="39">
        <f>+'Fast Key'!BC46</f>
        <v>0</v>
      </c>
      <c r="J37" s="21">
        <f t="shared" si="20"/>
        <v>0</v>
      </c>
      <c r="K37" s="21">
        <f>+'Fast Key'!BD46</f>
        <v>0</v>
      </c>
      <c r="L37" s="21" t="e">
        <f t="shared" si="20"/>
        <v>#REF!</v>
      </c>
      <c r="M37" s="21">
        <f t="shared" si="20"/>
        <v>103</v>
      </c>
      <c r="N37" s="21">
        <f t="shared" si="20"/>
        <v>60</v>
      </c>
      <c r="O37" s="21">
        <f t="shared" si="20"/>
        <v>65</v>
      </c>
    </row>
    <row r="38" spans="1:15" s="21" customFormat="1" ht="15.75" customHeight="1">
      <c r="A38" s="42" t="s">
        <v>35</v>
      </c>
      <c r="B38" s="35">
        <f t="shared" si="3"/>
        <v>0</v>
      </c>
      <c r="C38" s="43" t="e">
        <f t="shared" si="0"/>
        <v>#REF!</v>
      </c>
      <c r="D38" s="37" t="e">
        <f>+Shepparton!#REF!</f>
        <v>#REF!</v>
      </c>
      <c r="E38" s="37" t="e">
        <f>+Shepparton!#REF!</f>
        <v>#REF!</v>
      </c>
      <c r="F38" s="38" t="e">
        <f t="shared" si="1"/>
        <v>#REF!</v>
      </c>
      <c r="G38" s="37" t="e">
        <f>+Shepparton!#REF!</f>
        <v>#REF!</v>
      </c>
      <c r="H38" s="20"/>
      <c r="I38" s="39">
        <f>+'Fast Key'!BC47</f>
        <v>0</v>
      </c>
      <c r="J38" s="21">
        <f t="shared" si="20"/>
        <v>0</v>
      </c>
      <c r="K38" s="21">
        <f>+'Fast Key'!BD47</f>
        <v>0</v>
      </c>
      <c r="L38" s="21" t="e">
        <f t="shared" si="20"/>
        <v>#REF!</v>
      </c>
      <c r="M38" s="21">
        <f t="shared" si="20"/>
        <v>103</v>
      </c>
      <c r="N38" s="21">
        <f t="shared" si="20"/>
        <v>60</v>
      </c>
      <c r="O38" s="21">
        <f t="shared" si="20"/>
        <v>65</v>
      </c>
    </row>
    <row r="39" spans="1:15" s="21" customFormat="1" ht="15.75" customHeight="1">
      <c r="A39" s="42" t="s">
        <v>36</v>
      </c>
      <c r="B39" s="35">
        <f t="shared" si="3"/>
        <v>0</v>
      </c>
      <c r="C39" s="43" t="e">
        <f t="shared" si="0"/>
        <v>#REF!</v>
      </c>
      <c r="D39" s="37" t="e">
        <f>+Shepparton!#REF!</f>
        <v>#REF!</v>
      </c>
      <c r="E39" s="37" t="e">
        <f>+Shepparton!#REF!</f>
        <v>#REF!</v>
      </c>
      <c r="F39" s="38" t="e">
        <f t="shared" si="1"/>
        <v>#REF!</v>
      </c>
      <c r="G39" s="37" t="e">
        <f>+Shepparton!#REF!</f>
        <v>#REF!</v>
      </c>
      <c r="H39" s="20"/>
      <c r="I39" s="39">
        <f>+'Fast Key'!BC48</f>
        <v>0</v>
      </c>
      <c r="J39" s="21">
        <f t="shared" si="20"/>
        <v>0</v>
      </c>
      <c r="K39" s="21">
        <f>+'Fast Key'!BD48</f>
        <v>0</v>
      </c>
      <c r="L39" s="21" t="e">
        <f t="shared" si="20"/>
        <v>#REF!</v>
      </c>
      <c r="M39" s="21">
        <f t="shared" si="20"/>
        <v>103</v>
      </c>
      <c r="N39" s="21">
        <f t="shared" si="20"/>
        <v>60</v>
      </c>
      <c r="O39" s="21">
        <f t="shared" si="20"/>
        <v>65</v>
      </c>
    </row>
    <row r="40" spans="1:15" s="21" customFormat="1" ht="15.75" customHeight="1">
      <c r="A40" s="42" t="s">
        <v>37</v>
      </c>
      <c r="B40" s="35">
        <f t="shared" si="3"/>
        <v>0</v>
      </c>
      <c r="C40" s="43" t="e">
        <f t="shared" si="0"/>
        <v>#REF!</v>
      </c>
      <c r="D40" s="37" t="e">
        <f>+Shepparton!#REF!</f>
        <v>#REF!</v>
      </c>
      <c r="E40" s="37" t="e">
        <f>+Shepparton!#REF!</f>
        <v>#REF!</v>
      </c>
      <c r="F40" s="38" t="e">
        <f t="shared" si="1"/>
        <v>#REF!</v>
      </c>
      <c r="G40" s="37" t="e">
        <f>+Shepparton!#REF!</f>
        <v>#REF!</v>
      </c>
      <c r="H40" s="20"/>
      <c r="I40" s="39">
        <f>+'Fast Key'!BC49</f>
        <v>0</v>
      </c>
      <c r="J40" s="21">
        <f t="shared" si="20"/>
        <v>0</v>
      </c>
      <c r="K40" s="21">
        <f>+'Fast Key'!BD49</f>
        <v>0</v>
      </c>
      <c r="L40" s="21" t="e">
        <f t="shared" si="20"/>
        <v>#REF!</v>
      </c>
      <c r="M40" s="21">
        <f t="shared" si="20"/>
        <v>103</v>
      </c>
      <c r="N40" s="21">
        <f t="shared" si="20"/>
        <v>60</v>
      </c>
      <c r="O40" s="21">
        <f t="shared" si="20"/>
        <v>65</v>
      </c>
    </row>
    <row r="41" spans="1:15" s="21" customFormat="1" ht="15.75" customHeight="1">
      <c r="A41" s="42" t="s">
        <v>38</v>
      </c>
      <c r="B41" s="35">
        <f t="shared" si="3"/>
        <v>0</v>
      </c>
      <c r="C41" s="43" t="e">
        <f t="shared" si="0"/>
        <v>#REF!</v>
      </c>
      <c r="D41" s="37" t="e">
        <f>+Shepparton!#REF!</f>
        <v>#REF!</v>
      </c>
      <c r="E41" s="37" t="e">
        <f>+Shepparton!#REF!</f>
        <v>#REF!</v>
      </c>
      <c r="F41" s="38" t="e">
        <f t="shared" si="1"/>
        <v>#REF!</v>
      </c>
      <c r="G41" s="37" t="e">
        <f>+Shepparton!#REF!</f>
        <v>#REF!</v>
      </c>
      <c r="H41" s="20"/>
      <c r="I41" s="39">
        <f>+'Fast Key'!BC50</f>
        <v>0</v>
      </c>
      <c r="J41" s="21">
        <f t="shared" si="20"/>
        <v>0</v>
      </c>
      <c r="K41" s="21">
        <f>+'Fast Key'!BD50</f>
        <v>0</v>
      </c>
      <c r="L41" s="21" t="e">
        <f t="shared" si="20"/>
        <v>#REF!</v>
      </c>
      <c r="M41" s="21">
        <f t="shared" si="20"/>
        <v>103</v>
      </c>
      <c r="N41" s="21">
        <f t="shared" si="20"/>
        <v>60</v>
      </c>
      <c r="O41" s="21">
        <f t="shared" si="20"/>
        <v>65</v>
      </c>
    </row>
    <row r="42" spans="1:15" s="21" customFormat="1" ht="13.5" customHeight="1" thickBot="1">
      <c r="C42" s="44"/>
      <c r="D42" s="44"/>
      <c r="E42" s="44"/>
      <c r="F42" s="45"/>
      <c r="G42" s="45"/>
      <c r="H42" s="20"/>
      <c r="L42" s="39"/>
    </row>
    <row r="43" spans="1:15" s="21" customFormat="1" ht="13.5" customHeight="1">
      <c r="A43" s="46" t="s">
        <v>165</v>
      </c>
      <c r="B43" s="47"/>
      <c r="C43" s="44"/>
      <c r="D43" s="44"/>
      <c r="E43" s="48" t="s">
        <v>166</v>
      </c>
      <c r="F43" s="49"/>
      <c r="G43" s="50"/>
      <c r="H43" s="20"/>
      <c r="L43" s="39"/>
    </row>
    <row r="44" spans="1:15" s="21" customFormat="1" ht="13.5" customHeight="1">
      <c r="A44" s="51" t="s">
        <v>167</v>
      </c>
      <c r="B44" s="52"/>
      <c r="C44" s="44"/>
      <c r="D44" s="44"/>
      <c r="E44" s="53" t="s">
        <v>168</v>
      </c>
      <c r="G44" s="22"/>
      <c r="H44" s="20"/>
      <c r="L44" s="39"/>
    </row>
    <row r="45" spans="1:15" s="21" customFormat="1" ht="13.5" customHeight="1">
      <c r="A45" s="51" t="s">
        <v>169</v>
      </c>
      <c r="B45" s="52"/>
      <c r="C45" s="44"/>
      <c r="D45" s="44"/>
      <c r="E45" s="53" t="s">
        <v>170</v>
      </c>
      <c r="G45" s="22"/>
      <c r="H45" s="20"/>
      <c r="L45" s="39"/>
    </row>
    <row r="46" spans="1:15" s="21" customFormat="1" ht="13.5" customHeight="1">
      <c r="A46" s="51" t="s">
        <v>171</v>
      </c>
      <c r="B46" s="52"/>
      <c r="C46" s="44"/>
      <c r="D46" s="44"/>
      <c r="E46" s="53" t="s">
        <v>1069</v>
      </c>
      <c r="G46" s="22"/>
      <c r="H46" s="20"/>
      <c r="L46" s="39"/>
    </row>
    <row r="47" spans="1:15" s="21" customFormat="1" ht="13.5" customHeight="1">
      <c r="A47" s="51" t="s">
        <v>173</v>
      </c>
      <c r="B47" s="52"/>
      <c r="C47" s="44"/>
      <c r="D47" s="44"/>
      <c r="E47" s="53" t="s">
        <v>175</v>
      </c>
      <c r="G47" s="22"/>
      <c r="H47" s="20"/>
      <c r="L47" s="39"/>
    </row>
    <row r="48" spans="1:15" s="21" customFormat="1" ht="13.5" customHeight="1" thickBot="1">
      <c r="A48" s="54"/>
      <c r="B48" s="55"/>
      <c r="C48" s="44"/>
      <c r="D48" s="44"/>
      <c r="E48" s="56" t="s">
        <v>176</v>
      </c>
      <c r="F48" s="57"/>
      <c r="G48" s="58"/>
      <c r="H48" s="20"/>
      <c r="L48" s="39"/>
    </row>
    <row r="49" spans="1:15" s="21" customFormat="1" ht="13.5" customHeight="1">
      <c r="A49" s="521" t="s">
        <v>191</v>
      </c>
      <c r="B49" s="521"/>
      <c r="C49" s="521"/>
      <c r="D49" s="521"/>
      <c r="E49" s="521"/>
      <c r="F49" s="521"/>
      <c r="G49" s="521"/>
      <c r="H49" s="20"/>
    </row>
    <row r="50" spans="1:15" s="21" customFormat="1" ht="13.5" customHeight="1" thickBot="1">
      <c r="A50" s="23" t="str">
        <f>+A2</f>
        <v>LIFESTYLE SINGLE STOREY PRICE LIST VALID UP TO DEC 2025</v>
      </c>
      <c r="F50" s="24"/>
      <c r="G50" s="25"/>
      <c r="H50" s="20"/>
      <c r="L50" s="39"/>
    </row>
    <row r="51" spans="1:15" s="21" customFormat="1" ht="91.5" customHeight="1" thickBot="1">
      <c r="A51" s="26" t="s">
        <v>153</v>
      </c>
      <c r="B51" s="27" t="s">
        <v>154</v>
      </c>
      <c r="C51" s="28" t="s">
        <v>155</v>
      </c>
      <c r="D51" s="28" t="s">
        <v>156</v>
      </c>
      <c r="E51" s="28" t="s">
        <v>157</v>
      </c>
      <c r="F51" s="29" t="s">
        <v>158</v>
      </c>
      <c r="G51" s="28" t="s">
        <v>159</v>
      </c>
      <c r="H51" s="20"/>
      <c r="L51" s="39"/>
    </row>
    <row r="52" spans="1:15" s="21" customFormat="1" ht="15.75" customHeight="1">
      <c r="A52" s="42" t="s">
        <v>39</v>
      </c>
      <c r="B52" s="35">
        <f t="shared" ref="B52:B89" si="27">+CEILING(I52+J52+K52,10)</f>
        <v>0</v>
      </c>
      <c r="C52" s="43" t="e">
        <f t="shared" ref="C52:C89" si="28">+L52</f>
        <v>#REF!</v>
      </c>
      <c r="D52" s="37" t="e">
        <f>+Shepparton!#REF!</f>
        <v>#REF!</v>
      </c>
      <c r="E52" s="37" t="e">
        <f>+Shepparton!#REF!</f>
        <v>#REF!</v>
      </c>
      <c r="F52" s="38" t="e">
        <f>SUM(B52:E52)</f>
        <v>#REF!</v>
      </c>
      <c r="G52" s="37" t="e">
        <f>+Shepparton!#REF!</f>
        <v>#REF!</v>
      </c>
      <c r="H52" s="20"/>
      <c r="I52" s="39">
        <f>+'Fast Key'!BC51</f>
        <v>0</v>
      </c>
      <c r="J52" s="21">
        <f>+J41</f>
        <v>0</v>
      </c>
      <c r="K52" s="21">
        <f>+'Fast Key'!BD51</f>
        <v>0</v>
      </c>
      <c r="L52" s="21" t="e">
        <f>+L41</f>
        <v>#REF!</v>
      </c>
      <c r="M52" s="21">
        <f>+M41</f>
        <v>103</v>
      </c>
      <c r="N52" s="21">
        <f>+N41</f>
        <v>60</v>
      </c>
      <c r="O52" s="21">
        <f>+O41</f>
        <v>65</v>
      </c>
    </row>
    <row r="53" spans="1:15" s="21" customFormat="1" ht="15.75" customHeight="1">
      <c r="A53" s="42" t="s">
        <v>40</v>
      </c>
      <c r="B53" s="35">
        <f t="shared" si="27"/>
        <v>0</v>
      </c>
      <c r="C53" s="43" t="e">
        <f t="shared" si="28"/>
        <v>#REF!</v>
      </c>
      <c r="D53" s="37" t="e">
        <f>+Shepparton!#REF!</f>
        <v>#REF!</v>
      </c>
      <c r="E53" s="37" t="e">
        <f>+Shepparton!#REF!</f>
        <v>#REF!</v>
      </c>
      <c r="F53" s="38" t="e">
        <f>SUM(B53:E53)</f>
        <v>#REF!</v>
      </c>
      <c r="G53" s="37" t="e">
        <f>+Shepparton!#REF!</f>
        <v>#REF!</v>
      </c>
      <c r="H53" s="20"/>
      <c r="I53" s="39">
        <f>+'Fast Key'!BC52</f>
        <v>0</v>
      </c>
      <c r="J53" s="21">
        <f t="shared" ref="J53:O73" si="29">+J52</f>
        <v>0</v>
      </c>
      <c r="K53" s="21">
        <f>+'Fast Key'!BD52</f>
        <v>0</v>
      </c>
      <c r="L53" s="21" t="e">
        <f t="shared" si="29"/>
        <v>#REF!</v>
      </c>
      <c r="M53" s="21">
        <f t="shared" si="29"/>
        <v>103</v>
      </c>
      <c r="N53" s="21">
        <f t="shared" si="29"/>
        <v>60</v>
      </c>
      <c r="O53" s="21">
        <f t="shared" si="29"/>
        <v>65</v>
      </c>
    </row>
    <row r="54" spans="1:15" s="21" customFormat="1" ht="15.75" customHeight="1">
      <c r="A54" s="42" t="s">
        <v>41</v>
      </c>
      <c r="B54" s="35">
        <f t="shared" si="27"/>
        <v>0</v>
      </c>
      <c r="C54" s="43" t="e">
        <f t="shared" si="28"/>
        <v>#REF!</v>
      </c>
      <c r="D54" s="37" t="e">
        <f>+Shepparton!#REF!</f>
        <v>#REF!</v>
      </c>
      <c r="E54" s="37" t="e">
        <f>+Shepparton!#REF!</f>
        <v>#REF!</v>
      </c>
      <c r="F54" s="38" t="e">
        <f>SUM(B54:E54)</f>
        <v>#REF!</v>
      </c>
      <c r="G54" s="37" t="e">
        <f>+Shepparton!#REF!</f>
        <v>#REF!</v>
      </c>
      <c r="H54" s="20"/>
      <c r="I54" s="39">
        <f>+'Fast Key'!BC53</f>
        <v>0</v>
      </c>
      <c r="J54" s="21">
        <f t="shared" si="29"/>
        <v>0</v>
      </c>
      <c r="K54" s="21">
        <f>+'Fast Key'!BD53</f>
        <v>0</v>
      </c>
      <c r="L54" s="21" t="e">
        <f t="shared" si="29"/>
        <v>#REF!</v>
      </c>
      <c r="M54" s="21">
        <f t="shared" si="29"/>
        <v>103</v>
      </c>
      <c r="N54" s="21">
        <f t="shared" si="29"/>
        <v>60</v>
      </c>
      <c r="O54" s="21">
        <f t="shared" si="29"/>
        <v>65</v>
      </c>
    </row>
    <row r="55" spans="1:15" s="21" customFormat="1" ht="15.75" customHeight="1">
      <c r="A55" s="42" t="s">
        <v>42</v>
      </c>
      <c r="B55" s="35">
        <f t="shared" si="27"/>
        <v>0</v>
      </c>
      <c r="C55" s="43" t="e">
        <f t="shared" si="28"/>
        <v>#REF!</v>
      </c>
      <c r="D55" s="37" t="e">
        <f>+Shepparton!#REF!</f>
        <v>#REF!</v>
      </c>
      <c r="E55" s="37" t="e">
        <f>+Shepparton!#REF!</f>
        <v>#REF!</v>
      </c>
      <c r="F55" s="38" t="e">
        <f>SUM(B55:E55)</f>
        <v>#REF!</v>
      </c>
      <c r="G55" s="37" t="e">
        <f>+Shepparton!#REF!</f>
        <v>#REF!</v>
      </c>
      <c r="H55" s="20"/>
      <c r="I55" s="39">
        <f>+'Fast Key'!BC54</f>
        <v>0</v>
      </c>
      <c r="J55" s="21">
        <f t="shared" si="29"/>
        <v>0</v>
      </c>
      <c r="K55" s="21">
        <f>+'Fast Key'!BD54</f>
        <v>0</v>
      </c>
      <c r="L55" s="21" t="e">
        <f t="shared" si="29"/>
        <v>#REF!</v>
      </c>
      <c r="M55" s="21">
        <f t="shared" si="29"/>
        <v>103</v>
      </c>
      <c r="N55" s="21">
        <f t="shared" si="29"/>
        <v>60</v>
      </c>
      <c r="O55" s="21">
        <f t="shared" si="29"/>
        <v>65</v>
      </c>
    </row>
    <row r="56" spans="1:15" s="21" customFormat="1" ht="15.75" customHeight="1">
      <c r="A56" s="42" t="s">
        <v>43</v>
      </c>
      <c r="B56" s="35">
        <f t="shared" si="27"/>
        <v>0</v>
      </c>
      <c r="C56" s="43" t="e">
        <f t="shared" si="28"/>
        <v>#REF!</v>
      </c>
      <c r="D56" s="37" t="e">
        <f>+Shepparton!#REF!</f>
        <v>#REF!</v>
      </c>
      <c r="E56" s="37" t="e">
        <f>+Shepparton!#REF!</f>
        <v>#REF!</v>
      </c>
      <c r="F56" s="38" t="e">
        <f>SUM(B56:E56)</f>
        <v>#REF!</v>
      </c>
      <c r="G56" s="37" t="e">
        <f>+Shepparton!#REF!</f>
        <v>#REF!</v>
      </c>
      <c r="H56" s="20"/>
      <c r="I56" s="39">
        <f>+'Fast Key'!BC55</f>
        <v>0</v>
      </c>
      <c r="J56" s="21">
        <f t="shared" si="29"/>
        <v>0</v>
      </c>
      <c r="K56" s="21">
        <f>+'Fast Key'!BD55</f>
        <v>0</v>
      </c>
      <c r="L56" s="21" t="e">
        <f t="shared" si="29"/>
        <v>#REF!</v>
      </c>
      <c r="M56" s="21">
        <f t="shared" si="29"/>
        <v>103</v>
      </c>
      <c r="N56" s="21">
        <f t="shared" si="29"/>
        <v>60</v>
      </c>
      <c r="O56" s="21">
        <f t="shared" si="29"/>
        <v>65</v>
      </c>
    </row>
    <row r="57" spans="1:15" s="21" customFormat="1" ht="15.75" customHeight="1">
      <c r="A57" s="34" t="s">
        <v>44</v>
      </c>
      <c r="B57" s="35">
        <f t="shared" si="27"/>
        <v>0</v>
      </c>
      <c r="C57" s="36" t="e">
        <f t="shared" si="28"/>
        <v>#REF!</v>
      </c>
      <c r="D57" s="37" t="e">
        <f>+Shepparton!#REF!</f>
        <v>#REF!</v>
      </c>
      <c r="E57" s="37" t="e">
        <f>+Shepparton!#REF!</f>
        <v>#REF!</v>
      </c>
      <c r="F57" s="38" t="e">
        <f t="shared" ref="F57:F89" si="30">SUM(B57:E57)</f>
        <v>#REF!</v>
      </c>
      <c r="G57" s="37" t="e">
        <f>+Shepparton!#REF!</f>
        <v>#REF!</v>
      </c>
      <c r="H57" s="20"/>
      <c r="I57" s="39">
        <f>+'Fast Key'!BC56</f>
        <v>0</v>
      </c>
      <c r="J57" s="21">
        <f t="shared" si="29"/>
        <v>0</v>
      </c>
      <c r="K57" s="21">
        <f>+'Fast Key'!BD56</f>
        <v>0</v>
      </c>
      <c r="L57" s="21" t="e">
        <f t="shared" si="29"/>
        <v>#REF!</v>
      </c>
      <c r="M57" s="21">
        <f t="shared" si="29"/>
        <v>103</v>
      </c>
      <c r="N57" s="21">
        <f t="shared" si="29"/>
        <v>60</v>
      </c>
      <c r="O57" s="21">
        <f t="shared" si="29"/>
        <v>65</v>
      </c>
    </row>
    <row r="58" spans="1:15" s="21" customFormat="1" ht="15.75" customHeight="1">
      <c r="A58" s="42" t="s">
        <v>45</v>
      </c>
      <c r="B58" s="35">
        <f t="shared" si="27"/>
        <v>0</v>
      </c>
      <c r="C58" s="43" t="e">
        <f t="shared" si="28"/>
        <v>#REF!</v>
      </c>
      <c r="D58" s="37" t="e">
        <f>+Shepparton!#REF!</f>
        <v>#REF!</v>
      </c>
      <c r="E58" s="37" t="e">
        <f>+Shepparton!#REF!</f>
        <v>#REF!</v>
      </c>
      <c r="F58" s="38" t="e">
        <f t="shared" si="30"/>
        <v>#REF!</v>
      </c>
      <c r="G58" s="37" t="e">
        <f>+Shepparton!#REF!</f>
        <v>#REF!</v>
      </c>
      <c r="H58" s="20"/>
      <c r="I58" s="39">
        <f>+'Fast Key'!BC57</f>
        <v>0</v>
      </c>
      <c r="J58" s="21">
        <f>+J57</f>
        <v>0</v>
      </c>
      <c r="K58" s="21">
        <f>+'Fast Key'!BD57</f>
        <v>0</v>
      </c>
      <c r="L58" s="21" t="e">
        <f t="shared" si="29"/>
        <v>#REF!</v>
      </c>
      <c r="M58" s="21">
        <f t="shared" si="29"/>
        <v>103</v>
      </c>
      <c r="N58" s="21">
        <f t="shared" si="29"/>
        <v>60</v>
      </c>
      <c r="O58" s="21">
        <f t="shared" si="29"/>
        <v>65</v>
      </c>
    </row>
    <row r="59" spans="1:15" s="21" customFormat="1" ht="15.75" customHeight="1">
      <c r="A59" s="42" t="s">
        <v>46</v>
      </c>
      <c r="B59" s="35">
        <f t="shared" si="27"/>
        <v>0</v>
      </c>
      <c r="C59" s="43" t="e">
        <f t="shared" si="28"/>
        <v>#REF!</v>
      </c>
      <c r="D59" s="37" t="e">
        <f>+Shepparton!#REF!</f>
        <v>#REF!</v>
      </c>
      <c r="E59" s="37" t="e">
        <f>+Shepparton!#REF!</f>
        <v>#REF!</v>
      </c>
      <c r="F59" s="38" t="e">
        <f t="shared" si="30"/>
        <v>#REF!</v>
      </c>
      <c r="G59" s="37" t="e">
        <f>+Shepparton!#REF!</f>
        <v>#REF!</v>
      </c>
      <c r="H59" s="20"/>
      <c r="I59" s="39">
        <f>+'Fast Key'!BC58</f>
        <v>0</v>
      </c>
      <c r="J59" s="21">
        <f t="shared" ref="J59:O79" si="31">+J58</f>
        <v>0</v>
      </c>
      <c r="K59" s="21">
        <f>+'Fast Key'!BD58</f>
        <v>0</v>
      </c>
      <c r="L59" s="21" t="e">
        <f t="shared" si="29"/>
        <v>#REF!</v>
      </c>
      <c r="M59" s="21">
        <f t="shared" si="29"/>
        <v>103</v>
      </c>
      <c r="N59" s="21">
        <f t="shared" si="29"/>
        <v>60</v>
      </c>
      <c r="O59" s="21">
        <f t="shared" si="29"/>
        <v>65</v>
      </c>
    </row>
    <row r="60" spans="1:15" s="21" customFormat="1" ht="15.75" customHeight="1">
      <c r="A60" s="42" t="s">
        <v>47</v>
      </c>
      <c r="B60" s="35">
        <f t="shared" si="27"/>
        <v>0</v>
      </c>
      <c r="C60" s="43" t="e">
        <f t="shared" si="28"/>
        <v>#REF!</v>
      </c>
      <c r="D60" s="37" t="e">
        <f>+Shepparton!#REF!</f>
        <v>#REF!</v>
      </c>
      <c r="E60" s="37" t="e">
        <f>+Shepparton!#REF!</f>
        <v>#REF!</v>
      </c>
      <c r="F60" s="38" t="e">
        <f t="shared" si="30"/>
        <v>#REF!</v>
      </c>
      <c r="G60" s="37" t="e">
        <f>+Shepparton!#REF!</f>
        <v>#REF!</v>
      </c>
      <c r="H60" s="20"/>
      <c r="I60" s="39">
        <f>+'Fast Key'!BC59</f>
        <v>0</v>
      </c>
      <c r="J60" s="21">
        <f t="shared" si="31"/>
        <v>0</v>
      </c>
      <c r="K60" s="21">
        <f>+'Fast Key'!BD59</f>
        <v>0</v>
      </c>
      <c r="L60" s="21" t="e">
        <f t="shared" si="29"/>
        <v>#REF!</v>
      </c>
      <c r="M60" s="21">
        <f t="shared" si="29"/>
        <v>103</v>
      </c>
      <c r="N60" s="21">
        <f t="shared" si="29"/>
        <v>60</v>
      </c>
      <c r="O60" s="21">
        <f t="shared" si="29"/>
        <v>65</v>
      </c>
    </row>
    <row r="61" spans="1:15" s="21" customFormat="1" ht="15.75" customHeight="1">
      <c r="A61" s="42" t="s">
        <v>48</v>
      </c>
      <c r="B61" s="35">
        <f t="shared" si="27"/>
        <v>0</v>
      </c>
      <c r="C61" s="43" t="e">
        <f t="shared" si="28"/>
        <v>#REF!</v>
      </c>
      <c r="D61" s="37" t="e">
        <f>+Shepparton!#REF!</f>
        <v>#REF!</v>
      </c>
      <c r="E61" s="37" t="e">
        <f>+Shepparton!#REF!</f>
        <v>#REF!</v>
      </c>
      <c r="F61" s="38" t="e">
        <f t="shared" si="30"/>
        <v>#REF!</v>
      </c>
      <c r="G61" s="37" t="e">
        <f>+Shepparton!#REF!</f>
        <v>#REF!</v>
      </c>
      <c r="H61" s="20"/>
      <c r="I61" s="39">
        <f>+'Fast Key'!BC60</f>
        <v>0</v>
      </c>
      <c r="J61" s="21">
        <f t="shared" si="31"/>
        <v>0</v>
      </c>
      <c r="K61" s="21">
        <f>+'Fast Key'!BD60</f>
        <v>0</v>
      </c>
      <c r="L61" s="21" t="e">
        <f t="shared" si="29"/>
        <v>#REF!</v>
      </c>
      <c r="M61" s="21">
        <f t="shared" si="29"/>
        <v>103</v>
      </c>
      <c r="N61" s="21">
        <f t="shared" si="29"/>
        <v>60</v>
      </c>
      <c r="O61" s="21">
        <f t="shared" si="29"/>
        <v>65</v>
      </c>
    </row>
    <row r="62" spans="1:15" s="21" customFormat="1" ht="15.75" customHeight="1">
      <c r="A62" s="42" t="s">
        <v>49</v>
      </c>
      <c r="B62" s="35">
        <f t="shared" si="27"/>
        <v>0</v>
      </c>
      <c r="C62" s="43" t="e">
        <f t="shared" si="28"/>
        <v>#REF!</v>
      </c>
      <c r="D62" s="37" t="e">
        <f>+Shepparton!#REF!</f>
        <v>#REF!</v>
      </c>
      <c r="E62" s="37" t="e">
        <f>+Shepparton!#REF!</f>
        <v>#REF!</v>
      </c>
      <c r="F62" s="38" t="e">
        <f t="shared" si="30"/>
        <v>#REF!</v>
      </c>
      <c r="G62" s="37" t="e">
        <f>+Shepparton!#REF!</f>
        <v>#REF!</v>
      </c>
      <c r="H62" s="20"/>
      <c r="I62" s="39">
        <f>+'Fast Key'!BC61</f>
        <v>0</v>
      </c>
      <c r="J62" s="21">
        <f t="shared" si="31"/>
        <v>0</v>
      </c>
      <c r="K62" s="21">
        <f>+'Fast Key'!BD61</f>
        <v>0</v>
      </c>
      <c r="L62" s="21" t="e">
        <f t="shared" si="29"/>
        <v>#REF!</v>
      </c>
      <c r="M62" s="21">
        <f t="shared" si="29"/>
        <v>103</v>
      </c>
      <c r="N62" s="21">
        <f t="shared" si="29"/>
        <v>60</v>
      </c>
      <c r="O62" s="21">
        <f t="shared" si="29"/>
        <v>65</v>
      </c>
    </row>
    <row r="63" spans="1:15" s="21" customFormat="1" ht="15.75" customHeight="1">
      <c r="A63" s="42" t="s">
        <v>50</v>
      </c>
      <c r="B63" s="35">
        <f t="shared" si="27"/>
        <v>0</v>
      </c>
      <c r="C63" s="43" t="e">
        <f t="shared" si="28"/>
        <v>#REF!</v>
      </c>
      <c r="D63" s="37" t="e">
        <f>+Shepparton!#REF!</f>
        <v>#REF!</v>
      </c>
      <c r="E63" s="37" t="e">
        <f>+Shepparton!#REF!</f>
        <v>#REF!</v>
      </c>
      <c r="F63" s="38" t="e">
        <f t="shared" si="30"/>
        <v>#REF!</v>
      </c>
      <c r="G63" s="37" t="e">
        <f>+Shepparton!#REF!</f>
        <v>#REF!</v>
      </c>
      <c r="H63" s="20"/>
      <c r="I63" s="39">
        <f>+'Fast Key'!BC62</f>
        <v>0</v>
      </c>
      <c r="J63" s="21">
        <f t="shared" si="31"/>
        <v>0</v>
      </c>
      <c r="K63" s="21">
        <f>+'Fast Key'!BD62</f>
        <v>0</v>
      </c>
      <c r="L63" s="21" t="e">
        <f t="shared" si="29"/>
        <v>#REF!</v>
      </c>
      <c r="M63" s="21">
        <f t="shared" si="29"/>
        <v>103</v>
      </c>
      <c r="N63" s="21">
        <f t="shared" si="29"/>
        <v>60</v>
      </c>
      <c r="O63" s="21">
        <f t="shared" si="29"/>
        <v>65</v>
      </c>
    </row>
    <row r="64" spans="1:15" s="21" customFormat="1" ht="15.75" customHeight="1">
      <c r="A64" s="42" t="s">
        <v>51</v>
      </c>
      <c r="B64" s="35">
        <f t="shared" si="27"/>
        <v>0</v>
      </c>
      <c r="C64" s="43" t="e">
        <f t="shared" si="28"/>
        <v>#REF!</v>
      </c>
      <c r="D64" s="37" t="e">
        <f>+Shepparton!#REF!</f>
        <v>#REF!</v>
      </c>
      <c r="E64" s="37" t="e">
        <f>+Shepparton!#REF!</f>
        <v>#REF!</v>
      </c>
      <c r="F64" s="38" t="e">
        <f t="shared" si="30"/>
        <v>#REF!</v>
      </c>
      <c r="G64" s="37" t="e">
        <f>+Shepparton!#REF!</f>
        <v>#REF!</v>
      </c>
      <c r="H64" s="20"/>
      <c r="I64" s="39">
        <f>+'Fast Key'!BC63</f>
        <v>0</v>
      </c>
      <c r="J64" s="21">
        <f t="shared" si="31"/>
        <v>0</v>
      </c>
      <c r="K64" s="21">
        <f>+'Fast Key'!BD63</f>
        <v>0</v>
      </c>
      <c r="L64" s="21" t="e">
        <f t="shared" si="29"/>
        <v>#REF!</v>
      </c>
      <c r="M64" s="21">
        <f t="shared" si="29"/>
        <v>103</v>
      </c>
      <c r="N64" s="21">
        <f t="shared" si="29"/>
        <v>60</v>
      </c>
      <c r="O64" s="21">
        <f t="shared" si="29"/>
        <v>65</v>
      </c>
    </row>
    <row r="65" spans="1:15" s="21" customFormat="1" ht="15.75" customHeight="1">
      <c r="A65" s="42" t="s">
        <v>52</v>
      </c>
      <c r="B65" s="35">
        <f t="shared" si="27"/>
        <v>0</v>
      </c>
      <c r="C65" s="43" t="e">
        <f t="shared" si="28"/>
        <v>#REF!</v>
      </c>
      <c r="D65" s="37" t="e">
        <f>+Shepparton!#REF!</f>
        <v>#REF!</v>
      </c>
      <c r="E65" s="37" t="e">
        <f>+Shepparton!#REF!</f>
        <v>#REF!</v>
      </c>
      <c r="F65" s="38" t="e">
        <f t="shared" si="30"/>
        <v>#REF!</v>
      </c>
      <c r="G65" s="37" t="e">
        <f>+Shepparton!#REF!</f>
        <v>#REF!</v>
      </c>
      <c r="H65" s="20"/>
      <c r="I65" s="39">
        <f>+'Fast Key'!BC64</f>
        <v>0</v>
      </c>
      <c r="J65" s="21">
        <f t="shared" si="31"/>
        <v>0</v>
      </c>
      <c r="K65" s="21">
        <f>+'Fast Key'!BD64</f>
        <v>0</v>
      </c>
      <c r="L65" s="21" t="e">
        <f t="shared" si="29"/>
        <v>#REF!</v>
      </c>
      <c r="M65" s="21">
        <f t="shared" si="29"/>
        <v>103</v>
      </c>
      <c r="N65" s="21">
        <f t="shared" si="29"/>
        <v>60</v>
      </c>
      <c r="O65" s="21">
        <f t="shared" si="29"/>
        <v>65</v>
      </c>
    </row>
    <row r="66" spans="1:15" s="21" customFormat="1" ht="15.75" customHeight="1">
      <c r="A66" s="42" t="s">
        <v>1075</v>
      </c>
      <c r="B66" s="35">
        <f t="shared" ref="B66:B71" si="32">+CEILING(I66+J66+K66,10)</f>
        <v>0</v>
      </c>
      <c r="C66" s="43" t="e">
        <f t="shared" ref="C66:C71" si="33">+L66</f>
        <v>#REF!</v>
      </c>
      <c r="D66" s="37" t="e">
        <f>+Shepparton!#REF!</f>
        <v>#REF!</v>
      </c>
      <c r="E66" s="37" t="e">
        <f>+Shepparton!#REF!</f>
        <v>#REF!</v>
      </c>
      <c r="F66" s="38" t="e">
        <f t="shared" ref="F66:F71" si="34">SUM(B66:E66)</f>
        <v>#REF!</v>
      </c>
      <c r="G66" s="37" t="e">
        <f>+Shepparton!#REF!</f>
        <v>#REF!</v>
      </c>
      <c r="H66" s="20"/>
      <c r="I66" s="39">
        <f>+'Fast Key'!BC65</f>
        <v>0</v>
      </c>
      <c r="J66" s="21">
        <f t="shared" ref="J66" si="35">+J65</f>
        <v>0</v>
      </c>
      <c r="K66" s="21">
        <f>+'Fast Key'!BD65</f>
        <v>0</v>
      </c>
      <c r="L66" s="21" t="e">
        <f t="shared" ref="L66:O66" si="36">+L65</f>
        <v>#REF!</v>
      </c>
      <c r="M66" s="21">
        <f t="shared" si="36"/>
        <v>103</v>
      </c>
      <c r="N66" s="21">
        <f t="shared" si="36"/>
        <v>60</v>
      </c>
      <c r="O66" s="21">
        <f t="shared" si="36"/>
        <v>65</v>
      </c>
    </row>
    <row r="67" spans="1:15" s="21" customFormat="1" ht="15.75" customHeight="1">
      <c r="A67" s="42" t="s">
        <v>1076</v>
      </c>
      <c r="B67" s="35">
        <f t="shared" si="32"/>
        <v>0</v>
      </c>
      <c r="C67" s="43" t="e">
        <f t="shared" si="33"/>
        <v>#REF!</v>
      </c>
      <c r="D67" s="37" t="e">
        <f>+Shepparton!#REF!</f>
        <v>#REF!</v>
      </c>
      <c r="E67" s="37" t="e">
        <f>+Shepparton!#REF!</f>
        <v>#REF!</v>
      </c>
      <c r="F67" s="38" t="e">
        <f t="shared" si="34"/>
        <v>#REF!</v>
      </c>
      <c r="G67" s="37" t="e">
        <f>+Shepparton!#REF!</f>
        <v>#REF!</v>
      </c>
      <c r="H67" s="20"/>
      <c r="I67" s="39">
        <f>+'Fast Key'!BC66</f>
        <v>0</v>
      </c>
      <c r="J67" s="21">
        <f t="shared" ref="J67" si="37">+J66</f>
        <v>0</v>
      </c>
      <c r="K67" s="21">
        <f>+'Fast Key'!BD66</f>
        <v>0</v>
      </c>
      <c r="L67" s="21" t="e">
        <f t="shared" ref="L67:O67" si="38">+L66</f>
        <v>#REF!</v>
      </c>
      <c r="M67" s="21">
        <f t="shared" si="38"/>
        <v>103</v>
      </c>
      <c r="N67" s="21">
        <f t="shared" si="38"/>
        <v>60</v>
      </c>
      <c r="O67" s="21">
        <f t="shared" si="38"/>
        <v>65</v>
      </c>
    </row>
    <row r="68" spans="1:15" s="21" customFormat="1" ht="15.75" customHeight="1">
      <c r="A68" s="42" t="s">
        <v>1077</v>
      </c>
      <c r="B68" s="35">
        <f t="shared" si="32"/>
        <v>0</v>
      </c>
      <c r="C68" s="43" t="e">
        <f t="shared" si="33"/>
        <v>#REF!</v>
      </c>
      <c r="D68" s="37" t="e">
        <f>+Shepparton!#REF!</f>
        <v>#REF!</v>
      </c>
      <c r="E68" s="37" t="e">
        <f>+Shepparton!#REF!</f>
        <v>#REF!</v>
      </c>
      <c r="F68" s="38" t="e">
        <f t="shared" si="34"/>
        <v>#REF!</v>
      </c>
      <c r="G68" s="37" t="e">
        <f>+Shepparton!#REF!</f>
        <v>#REF!</v>
      </c>
      <c r="H68" s="20"/>
      <c r="I68" s="39">
        <f>+'Fast Key'!BC67</f>
        <v>0</v>
      </c>
      <c r="J68" s="21">
        <f t="shared" ref="J68" si="39">+J67</f>
        <v>0</v>
      </c>
      <c r="K68" s="21">
        <f>+'Fast Key'!BD67</f>
        <v>0</v>
      </c>
      <c r="L68" s="21" t="e">
        <f t="shared" ref="L68:O68" si="40">+L67</f>
        <v>#REF!</v>
      </c>
      <c r="M68" s="21">
        <f t="shared" si="40"/>
        <v>103</v>
      </c>
      <c r="N68" s="21">
        <f t="shared" si="40"/>
        <v>60</v>
      </c>
      <c r="O68" s="21">
        <f t="shared" si="40"/>
        <v>65</v>
      </c>
    </row>
    <row r="69" spans="1:15" s="21" customFormat="1" ht="15.75" customHeight="1">
      <c r="A69" s="42" t="s">
        <v>1078</v>
      </c>
      <c r="B69" s="35">
        <f t="shared" si="32"/>
        <v>0</v>
      </c>
      <c r="C69" s="43" t="e">
        <f t="shared" si="33"/>
        <v>#REF!</v>
      </c>
      <c r="D69" s="37" t="e">
        <f>+Shepparton!#REF!</f>
        <v>#REF!</v>
      </c>
      <c r="E69" s="37" t="e">
        <f>+Shepparton!#REF!</f>
        <v>#REF!</v>
      </c>
      <c r="F69" s="38" t="e">
        <f t="shared" si="34"/>
        <v>#REF!</v>
      </c>
      <c r="G69" s="37" t="e">
        <f>+Shepparton!#REF!</f>
        <v>#REF!</v>
      </c>
      <c r="H69" s="20"/>
      <c r="I69" s="39">
        <f>+'Fast Key'!BC68</f>
        <v>0</v>
      </c>
      <c r="J69" s="21">
        <f t="shared" ref="J69" si="41">+J68</f>
        <v>0</v>
      </c>
      <c r="K69" s="21">
        <f>+'Fast Key'!BD68</f>
        <v>0</v>
      </c>
      <c r="L69" s="21" t="e">
        <f t="shared" ref="L69:O69" si="42">+L68</f>
        <v>#REF!</v>
      </c>
      <c r="M69" s="21">
        <f t="shared" si="42"/>
        <v>103</v>
      </c>
      <c r="N69" s="21">
        <f t="shared" si="42"/>
        <v>60</v>
      </c>
      <c r="O69" s="21">
        <f t="shared" si="42"/>
        <v>65</v>
      </c>
    </row>
    <row r="70" spans="1:15" s="21" customFormat="1" ht="15.75" customHeight="1">
      <c r="A70" s="42" t="s">
        <v>1079</v>
      </c>
      <c r="B70" s="35">
        <f t="shared" si="32"/>
        <v>0</v>
      </c>
      <c r="C70" s="43" t="e">
        <f t="shared" si="33"/>
        <v>#REF!</v>
      </c>
      <c r="D70" s="37" t="e">
        <f>+Shepparton!#REF!</f>
        <v>#REF!</v>
      </c>
      <c r="E70" s="37" t="e">
        <f>+Shepparton!#REF!</f>
        <v>#REF!</v>
      </c>
      <c r="F70" s="38" t="e">
        <f t="shared" si="34"/>
        <v>#REF!</v>
      </c>
      <c r="G70" s="37" t="e">
        <f>+Shepparton!#REF!</f>
        <v>#REF!</v>
      </c>
      <c r="H70" s="20"/>
      <c r="I70" s="39">
        <f>+'Fast Key'!BC69</f>
        <v>0</v>
      </c>
      <c r="J70" s="21">
        <f t="shared" ref="J70" si="43">+J69</f>
        <v>0</v>
      </c>
      <c r="K70" s="21">
        <f>+'Fast Key'!BD69</f>
        <v>0</v>
      </c>
      <c r="L70" s="21" t="e">
        <f t="shared" ref="L70:O70" si="44">+L69</f>
        <v>#REF!</v>
      </c>
      <c r="M70" s="21">
        <f t="shared" si="44"/>
        <v>103</v>
      </c>
      <c r="N70" s="21">
        <f t="shared" si="44"/>
        <v>60</v>
      </c>
      <c r="O70" s="21">
        <f t="shared" si="44"/>
        <v>65</v>
      </c>
    </row>
    <row r="71" spans="1:15" s="21" customFormat="1" ht="15.75" customHeight="1">
      <c r="A71" s="42" t="s">
        <v>53</v>
      </c>
      <c r="B71" s="35">
        <f t="shared" si="32"/>
        <v>0</v>
      </c>
      <c r="C71" s="43" t="e">
        <f t="shared" si="33"/>
        <v>#REF!</v>
      </c>
      <c r="D71" s="37" t="e">
        <f>+Shepparton!#REF!</f>
        <v>#REF!</v>
      </c>
      <c r="E71" s="37" t="e">
        <f>+Shepparton!#REF!</f>
        <v>#REF!</v>
      </c>
      <c r="F71" s="38" t="e">
        <f t="shared" si="34"/>
        <v>#REF!</v>
      </c>
      <c r="G71" s="37" t="e">
        <f>+Shepparton!#REF!</f>
        <v>#REF!</v>
      </c>
      <c r="H71" s="20"/>
      <c r="I71" s="39">
        <f>+'Fast Key'!BC70</f>
        <v>0</v>
      </c>
      <c r="J71" s="21">
        <f t="shared" ref="J71" si="45">+J70</f>
        <v>0</v>
      </c>
      <c r="K71" s="21">
        <f>+'Fast Key'!BD70</f>
        <v>0</v>
      </c>
      <c r="L71" s="21" t="e">
        <f t="shared" ref="L71:O71" si="46">+L70</f>
        <v>#REF!</v>
      </c>
      <c r="M71" s="21">
        <f t="shared" si="46"/>
        <v>103</v>
      </c>
      <c r="N71" s="21">
        <f t="shared" si="46"/>
        <v>60</v>
      </c>
      <c r="O71" s="21">
        <f t="shared" si="46"/>
        <v>65</v>
      </c>
    </row>
    <row r="72" spans="1:15" s="21" customFormat="1" ht="15.75" customHeight="1">
      <c r="A72" s="42" t="s">
        <v>54</v>
      </c>
      <c r="B72" s="35">
        <f t="shared" si="27"/>
        <v>0</v>
      </c>
      <c r="C72" s="43" t="e">
        <f t="shared" si="28"/>
        <v>#REF!</v>
      </c>
      <c r="D72" s="37" t="e">
        <f>+Shepparton!#REF!</f>
        <v>#REF!</v>
      </c>
      <c r="E72" s="37" t="e">
        <f>+Shepparton!#REF!</f>
        <v>#REF!</v>
      </c>
      <c r="F72" s="38" t="e">
        <f t="shared" si="30"/>
        <v>#REF!</v>
      </c>
      <c r="G72" s="37" t="e">
        <f>+Shepparton!#REF!</f>
        <v>#REF!</v>
      </c>
      <c r="H72" s="20"/>
      <c r="I72" s="39">
        <f>+'Fast Key'!BC71</f>
        <v>0</v>
      </c>
      <c r="J72" s="21">
        <f t="shared" si="31"/>
        <v>0</v>
      </c>
      <c r="K72" s="21">
        <f>+'Fast Key'!BD71</f>
        <v>0</v>
      </c>
      <c r="L72" s="21" t="e">
        <f t="shared" si="29"/>
        <v>#REF!</v>
      </c>
      <c r="M72" s="21">
        <f t="shared" si="29"/>
        <v>103</v>
      </c>
      <c r="N72" s="21">
        <f t="shared" si="29"/>
        <v>60</v>
      </c>
      <c r="O72" s="21">
        <f t="shared" si="29"/>
        <v>65</v>
      </c>
    </row>
    <row r="73" spans="1:15" s="21" customFormat="1" ht="15.75" customHeight="1">
      <c r="A73" s="42" t="s">
        <v>55</v>
      </c>
      <c r="B73" s="35">
        <f t="shared" si="27"/>
        <v>0</v>
      </c>
      <c r="C73" s="43" t="e">
        <f t="shared" si="28"/>
        <v>#REF!</v>
      </c>
      <c r="D73" s="37" t="e">
        <f>+Shepparton!#REF!</f>
        <v>#REF!</v>
      </c>
      <c r="E73" s="37" t="e">
        <f>+Shepparton!#REF!</f>
        <v>#REF!</v>
      </c>
      <c r="F73" s="38" t="e">
        <f t="shared" si="30"/>
        <v>#REF!</v>
      </c>
      <c r="G73" s="37" t="e">
        <f>+Shepparton!#REF!</f>
        <v>#REF!</v>
      </c>
      <c r="H73" s="20"/>
      <c r="I73" s="39">
        <f>+'Fast Key'!BC72</f>
        <v>0</v>
      </c>
      <c r="J73" s="21">
        <f t="shared" si="31"/>
        <v>0</v>
      </c>
      <c r="K73" s="21">
        <f>+'Fast Key'!BD72</f>
        <v>0</v>
      </c>
      <c r="L73" s="21" t="e">
        <f t="shared" si="29"/>
        <v>#REF!</v>
      </c>
      <c r="M73" s="21">
        <f t="shared" si="29"/>
        <v>103</v>
      </c>
      <c r="N73" s="21">
        <f t="shared" si="29"/>
        <v>60</v>
      </c>
      <c r="O73" s="21">
        <f t="shared" si="29"/>
        <v>65</v>
      </c>
    </row>
    <row r="74" spans="1:15" s="21" customFormat="1" ht="15.75" customHeight="1">
      <c r="A74" s="42" t="s">
        <v>56</v>
      </c>
      <c r="B74" s="35">
        <f t="shared" si="27"/>
        <v>0</v>
      </c>
      <c r="C74" s="43" t="e">
        <f t="shared" si="28"/>
        <v>#REF!</v>
      </c>
      <c r="D74" s="37" t="e">
        <f>+Shepparton!#REF!</f>
        <v>#REF!</v>
      </c>
      <c r="E74" s="37" t="e">
        <f>+Shepparton!#REF!</f>
        <v>#REF!</v>
      </c>
      <c r="F74" s="38" t="e">
        <f t="shared" si="30"/>
        <v>#REF!</v>
      </c>
      <c r="G74" s="37" t="e">
        <f>+Shepparton!#REF!</f>
        <v>#REF!</v>
      </c>
      <c r="H74" s="20"/>
      <c r="I74" s="39">
        <f>+'Fast Key'!BC73</f>
        <v>0</v>
      </c>
      <c r="J74" s="21">
        <f t="shared" si="31"/>
        <v>0</v>
      </c>
      <c r="K74" s="21">
        <f>+'Fast Key'!BD73</f>
        <v>0</v>
      </c>
      <c r="L74" s="21" t="e">
        <f t="shared" si="31"/>
        <v>#REF!</v>
      </c>
      <c r="M74" s="21">
        <f t="shared" si="31"/>
        <v>103</v>
      </c>
      <c r="N74" s="21">
        <f t="shared" si="31"/>
        <v>60</v>
      </c>
      <c r="O74" s="21">
        <f t="shared" si="31"/>
        <v>65</v>
      </c>
    </row>
    <row r="75" spans="1:15" s="21" customFormat="1" ht="15.75" customHeight="1">
      <c r="A75" s="42" t="s">
        <v>57</v>
      </c>
      <c r="B75" s="35">
        <f t="shared" si="27"/>
        <v>0</v>
      </c>
      <c r="C75" s="43" t="e">
        <f t="shared" si="28"/>
        <v>#REF!</v>
      </c>
      <c r="D75" s="37" t="e">
        <f>+Shepparton!#REF!</f>
        <v>#REF!</v>
      </c>
      <c r="E75" s="37" t="e">
        <f>+Shepparton!#REF!</f>
        <v>#REF!</v>
      </c>
      <c r="F75" s="38" t="e">
        <f t="shared" si="30"/>
        <v>#REF!</v>
      </c>
      <c r="G75" s="37" t="e">
        <f>+Shepparton!#REF!</f>
        <v>#REF!</v>
      </c>
      <c r="H75" s="20"/>
      <c r="I75" s="39">
        <f>+'Fast Key'!BC74</f>
        <v>0</v>
      </c>
      <c r="J75" s="21">
        <f t="shared" si="31"/>
        <v>0</v>
      </c>
      <c r="K75" s="21">
        <f>+'Fast Key'!BD74</f>
        <v>0</v>
      </c>
      <c r="L75" s="21" t="e">
        <f t="shared" si="31"/>
        <v>#REF!</v>
      </c>
      <c r="M75" s="21">
        <f t="shared" si="31"/>
        <v>103</v>
      </c>
      <c r="N75" s="21">
        <f t="shared" si="31"/>
        <v>60</v>
      </c>
      <c r="O75" s="21">
        <f t="shared" si="31"/>
        <v>65</v>
      </c>
    </row>
    <row r="76" spans="1:15" s="21" customFormat="1" ht="15.75" customHeight="1">
      <c r="A76" s="42" t="s">
        <v>58</v>
      </c>
      <c r="B76" s="35">
        <f t="shared" si="27"/>
        <v>0</v>
      </c>
      <c r="C76" s="43" t="e">
        <f t="shared" si="28"/>
        <v>#REF!</v>
      </c>
      <c r="D76" s="37" t="e">
        <f>+Shepparton!#REF!</f>
        <v>#REF!</v>
      </c>
      <c r="E76" s="37" t="e">
        <f>+Shepparton!#REF!</f>
        <v>#REF!</v>
      </c>
      <c r="F76" s="38" t="e">
        <f t="shared" si="30"/>
        <v>#REF!</v>
      </c>
      <c r="G76" s="37" t="e">
        <f>+Shepparton!#REF!</f>
        <v>#REF!</v>
      </c>
      <c r="H76" s="20"/>
      <c r="I76" s="39">
        <f>+'Fast Key'!BC75</f>
        <v>0</v>
      </c>
      <c r="J76" s="21">
        <f t="shared" si="31"/>
        <v>0</v>
      </c>
      <c r="K76" s="21">
        <f>+'Fast Key'!BD75</f>
        <v>0</v>
      </c>
      <c r="L76" s="21" t="e">
        <f t="shared" si="31"/>
        <v>#REF!</v>
      </c>
      <c r="M76" s="21">
        <f t="shared" si="31"/>
        <v>103</v>
      </c>
      <c r="N76" s="21">
        <f t="shared" si="31"/>
        <v>60</v>
      </c>
      <c r="O76" s="21">
        <f t="shared" si="31"/>
        <v>65</v>
      </c>
    </row>
    <row r="77" spans="1:15" s="21" customFormat="1" ht="15.75" customHeight="1">
      <c r="A77" s="42" t="s">
        <v>59</v>
      </c>
      <c r="B77" s="35">
        <f t="shared" si="27"/>
        <v>0</v>
      </c>
      <c r="C77" s="43" t="e">
        <f t="shared" si="28"/>
        <v>#REF!</v>
      </c>
      <c r="D77" s="37" t="e">
        <f>+Shepparton!#REF!</f>
        <v>#REF!</v>
      </c>
      <c r="E77" s="37" t="e">
        <f>+Shepparton!#REF!</f>
        <v>#REF!</v>
      </c>
      <c r="F77" s="38" t="e">
        <f t="shared" si="30"/>
        <v>#REF!</v>
      </c>
      <c r="G77" s="37" t="e">
        <f>+Shepparton!#REF!</f>
        <v>#REF!</v>
      </c>
      <c r="H77" s="20"/>
      <c r="I77" s="39">
        <f>+'Fast Key'!BC76</f>
        <v>0</v>
      </c>
      <c r="J77" s="21">
        <f t="shared" si="31"/>
        <v>0</v>
      </c>
      <c r="K77" s="21">
        <f>+'Fast Key'!BD76</f>
        <v>0</v>
      </c>
      <c r="L77" s="21" t="e">
        <f t="shared" si="31"/>
        <v>#REF!</v>
      </c>
      <c r="M77" s="21">
        <f t="shared" si="31"/>
        <v>103</v>
      </c>
      <c r="N77" s="21">
        <f t="shared" si="31"/>
        <v>60</v>
      </c>
      <c r="O77" s="21">
        <f t="shared" si="31"/>
        <v>65</v>
      </c>
    </row>
    <row r="78" spans="1:15" s="21" customFormat="1" ht="15.75" customHeight="1">
      <c r="A78" s="42" t="s">
        <v>60</v>
      </c>
      <c r="B78" s="35">
        <f t="shared" si="27"/>
        <v>0</v>
      </c>
      <c r="C78" s="43" t="e">
        <f t="shared" si="28"/>
        <v>#REF!</v>
      </c>
      <c r="D78" s="37" t="e">
        <f>+Shepparton!#REF!</f>
        <v>#REF!</v>
      </c>
      <c r="E78" s="37" t="e">
        <f>+Shepparton!#REF!</f>
        <v>#REF!</v>
      </c>
      <c r="F78" s="38" t="e">
        <f t="shared" si="30"/>
        <v>#REF!</v>
      </c>
      <c r="G78" s="37" t="e">
        <f>+Shepparton!#REF!</f>
        <v>#REF!</v>
      </c>
      <c r="H78" s="20"/>
      <c r="I78" s="39">
        <f>+'Fast Key'!BC77</f>
        <v>0</v>
      </c>
      <c r="J78" s="21">
        <f t="shared" si="31"/>
        <v>0</v>
      </c>
      <c r="K78" s="21">
        <f>+'Fast Key'!BD77</f>
        <v>0</v>
      </c>
      <c r="L78" s="21" t="e">
        <f t="shared" si="31"/>
        <v>#REF!</v>
      </c>
      <c r="M78" s="21">
        <f t="shared" si="31"/>
        <v>103</v>
      </c>
      <c r="N78" s="21">
        <f t="shared" si="31"/>
        <v>60</v>
      </c>
      <c r="O78" s="21">
        <f t="shared" si="31"/>
        <v>65</v>
      </c>
    </row>
    <row r="79" spans="1:15" s="21" customFormat="1" ht="15.75" customHeight="1">
      <c r="A79" s="42" t="s">
        <v>61</v>
      </c>
      <c r="B79" s="35">
        <f t="shared" si="27"/>
        <v>0</v>
      </c>
      <c r="C79" s="43" t="e">
        <f t="shared" si="28"/>
        <v>#REF!</v>
      </c>
      <c r="D79" s="37" t="e">
        <f>+Shepparton!#REF!</f>
        <v>#REF!</v>
      </c>
      <c r="E79" s="37" t="e">
        <f>+Shepparton!#REF!</f>
        <v>#REF!</v>
      </c>
      <c r="F79" s="38" t="e">
        <f t="shared" si="30"/>
        <v>#REF!</v>
      </c>
      <c r="G79" s="37" t="e">
        <f>+Shepparton!#REF!</f>
        <v>#REF!</v>
      </c>
      <c r="H79" s="20"/>
      <c r="I79" s="39">
        <f>+'Fast Key'!BC78</f>
        <v>0</v>
      </c>
      <c r="J79" s="21">
        <f t="shared" si="31"/>
        <v>0</v>
      </c>
      <c r="K79" s="21">
        <f>+'Fast Key'!BD78</f>
        <v>0</v>
      </c>
      <c r="L79" s="21" t="e">
        <f t="shared" si="31"/>
        <v>#REF!</v>
      </c>
      <c r="M79" s="21">
        <f t="shared" si="31"/>
        <v>103</v>
      </c>
      <c r="N79" s="21">
        <f t="shared" si="31"/>
        <v>60</v>
      </c>
      <c r="O79" s="21">
        <f t="shared" si="31"/>
        <v>65</v>
      </c>
    </row>
    <row r="80" spans="1:15" s="21" customFormat="1" ht="15.75" customHeight="1">
      <c r="A80" s="42" t="s">
        <v>62</v>
      </c>
      <c r="B80" s="35">
        <f t="shared" si="27"/>
        <v>0</v>
      </c>
      <c r="C80" s="43" t="e">
        <f t="shared" si="28"/>
        <v>#REF!</v>
      </c>
      <c r="D80" s="37" t="e">
        <f>+Shepparton!#REF!</f>
        <v>#REF!</v>
      </c>
      <c r="E80" s="37" t="e">
        <f>+Shepparton!#REF!</f>
        <v>#REF!</v>
      </c>
      <c r="F80" s="38" t="e">
        <f t="shared" si="30"/>
        <v>#REF!</v>
      </c>
      <c r="G80" s="37" t="e">
        <f>+Shepparton!#REF!</f>
        <v>#REF!</v>
      </c>
      <c r="H80" s="20"/>
      <c r="I80" s="39">
        <f>+'Fast Key'!BC79</f>
        <v>0</v>
      </c>
      <c r="J80" s="21">
        <f t="shared" ref="J80:O88" si="47">+J79</f>
        <v>0</v>
      </c>
      <c r="K80" s="21">
        <f>+'Fast Key'!BD79</f>
        <v>0</v>
      </c>
      <c r="L80" s="21" t="e">
        <f t="shared" si="47"/>
        <v>#REF!</v>
      </c>
      <c r="M80" s="21">
        <f t="shared" si="47"/>
        <v>103</v>
      </c>
      <c r="N80" s="21">
        <f t="shared" si="47"/>
        <v>60</v>
      </c>
      <c r="O80" s="21">
        <f t="shared" si="47"/>
        <v>65</v>
      </c>
    </row>
    <row r="81" spans="1:15" s="21" customFormat="1" ht="15.75" customHeight="1">
      <c r="A81" s="42" t="s">
        <v>63</v>
      </c>
      <c r="B81" s="35">
        <f t="shared" si="27"/>
        <v>0</v>
      </c>
      <c r="C81" s="43" t="e">
        <f t="shared" si="28"/>
        <v>#REF!</v>
      </c>
      <c r="D81" s="37" t="e">
        <f>+Shepparton!#REF!</f>
        <v>#REF!</v>
      </c>
      <c r="E81" s="37" t="e">
        <f>+Shepparton!#REF!</f>
        <v>#REF!</v>
      </c>
      <c r="F81" s="38" t="e">
        <f t="shared" si="30"/>
        <v>#REF!</v>
      </c>
      <c r="G81" s="37" t="e">
        <f>+Shepparton!#REF!</f>
        <v>#REF!</v>
      </c>
      <c r="H81" s="20"/>
      <c r="I81" s="39">
        <f>+'Fast Key'!BC80</f>
        <v>0</v>
      </c>
      <c r="J81" s="21">
        <f t="shared" si="47"/>
        <v>0</v>
      </c>
      <c r="K81" s="21">
        <f>+'Fast Key'!BD80</f>
        <v>0</v>
      </c>
      <c r="L81" s="21" t="e">
        <f t="shared" si="47"/>
        <v>#REF!</v>
      </c>
      <c r="M81" s="21">
        <f t="shared" si="47"/>
        <v>103</v>
      </c>
      <c r="N81" s="21">
        <f t="shared" si="47"/>
        <v>60</v>
      </c>
      <c r="O81" s="21">
        <f t="shared" si="47"/>
        <v>65</v>
      </c>
    </row>
    <row r="82" spans="1:15" s="21" customFormat="1" ht="15.75" customHeight="1">
      <c r="A82" s="42" t="s">
        <v>64</v>
      </c>
      <c r="B82" s="35">
        <f t="shared" si="27"/>
        <v>0</v>
      </c>
      <c r="C82" s="43" t="e">
        <f t="shared" si="28"/>
        <v>#REF!</v>
      </c>
      <c r="D82" s="37" t="e">
        <f>+Shepparton!#REF!</f>
        <v>#REF!</v>
      </c>
      <c r="E82" s="37" t="e">
        <f>+Shepparton!#REF!</f>
        <v>#REF!</v>
      </c>
      <c r="F82" s="38" t="e">
        <f t="shared" si="30"/>
        <v>#REF!</v>
      </c>
      <c r="G82" s="37" t="e">
        <f>+Shepparton!#REF!</f>
        <v>#REF!</v>
      </c>
      <c r="H82" s="20"/>
      <c r="I82" s="39">
        <f>+'Fast Key'!BC81</f>
        <v>0</v>
      </c>
      <c r="J82" s="21">
        <f t="shared" si="47"/>
        <v>0</v>
      </c>
      <c r="K82" s="21">
        <f>+'Fast Key'!BD81</f>
        <v>0</v>
      </c>
      <c r="L82" s="21" t="e">
        <f t="shared" si="47"/>
        <v>#REF!</v>
      </c>
      <c r="M82" s="21">
        <f t="shared" si="47"/>
        <v>103</v>
      </c>
      <c r="N82" s="21">
        <f t="shared" si="47"/>
        <v>60</v>
      </c>
      <c r="O82" s="21">
        <f t="shared" si="47"/>
        <v>65</v>
      </c>
    </row>
    <row r="83" spans="1:15" s="21" customFormat="1" ht="15.75" customHeight="1">
      <c r="A83" s="42" t="s">
        <v>65</v>
      </c>
      <c r="B83" s="35">
        <f t="shared" si="27"/>
        <v>0</v>
      </c>
      <c r="C83" s="43" t="e">
        <f t="shared" si="28"/>
        <v>#REF!</v>
      </c>
      <c r="D83" s="37" t="e">
        <f>+Shepparton!#REF!</f>
        <v>#REF!</v>
      </c>
      <c r="E83" s="37" t="e">
        <f>+Shepparton!#REF!</f>
        <v>#REF!</v>
      </c>
      <c r="F83" s="38" t="e">
        <f t="shared" si="30"/>
        <v>#REF!</v>
      </c>
      <c r="G83" s="37" t="e">
        <f>+Shepparton!#REF!</f>
        <v>#REF!</v>
      </c>
      <c r="H83" s="20"/>
      <c r="I83" s="39">
        <f>+'Fast Key'!BC82</f>
        <v>0</v>
      </c>
      <c r="J83" s="21">
        <f t="shared" si="47"/>
        <v>0</v>
      </c>
      <c r="K83" s="21">
        <f>+'Fast Key'!BD82</f>
        <v>0</v>
      </c>
      <c r="L83" s="21" t="e">
        <f t="shared" si="47"/>
        <v>#REF!</v>
      </c>
      <c r="M83" s="21">
        <f t="shared" si="47"/>
        <v>103</v>
      </c>
      <c r="N83" s="21">
        <f t="shared" si="47"/>
        <v>60</v>
      </c>
      <c r="O83" s="21">
        <f t="shared" si="47"/>
        <v>65</v>
      </c>
    </row>
    <row r="84" spans="1:15" s="21" customFormat="1" ht="15.75" customHeight="1">
      <c r="A84" s="42" t="s">
        <v>66</v>
      </c>
      <c r="B84" s="35">
        <f t="shared" si="27"/>
        <v>0</v>
      </c>
      <c r="C84" s="43" t="e">
        <f t="shared" si="28"/>
        <v>#REF!</v>
      </c>
      <c r="D84" s="37" t="e">
        <f>+Shepparton!#REF!</f>
        <v>#REF!</v>
      </c>
      <c r="E84" s="37" t="e">
        <f>+Shepparton!#REF!</f>
        <v>#REF!</v>
      </c>
      <c r="F84" s="38" t="e">
        <f t="shared" si="30"/>
        <v>#REF!</v>
      </c>
      <c r="G84" s="37" t="e">
        <f>+Shepparton!#REF!</f>
        <v>#REF!</v>
      </c>
      <c r="H84" s="20"/>
      <c r="I84" s="39">
        <f>+'Fast Key'!BC83</f>
        <v>0</v>
      </c>
      <c r="J84" s="21">
        <f t="shared" si="47"/>
        <v>0</v>
      </c>
      <c r="K84" s="21">
        <f>+'Fast Key'!BD83</f>
        <v>0</v>
      </c>
      <c r="L84" s="21" t="e">
        <f t="shared" si="47"/>
        <v>#REF!</v>
      </c>
      <c r="M84" s="21">
        <f t="shared" si="47"/>
        <v>103</v>
      </c>
      <c r="N84" s="21">
        <f t="shared" si="47"/>
        <v>60</v>
      </c>
      <c r="O84" s="21">
        <f t="shared" si="47"/>
        <v>65</v>
      </c>
    </row>
    <row r="85" spans="1:15" s="21" customFormat="1" ht="15.75" customHeight="1">
      <c r="A85" s="42" t="s">
        <v>67</v>
      </c>
      <c r="B85" s="35">
        <f t="shared" si="27"/>
        <v>0</v>
      </c>
      <c r="C85" s="43" t="e">
        <f t="shared" si="28"/>
        <v>#REF!</v>
      </c>
      <c r="D85" s="37" t="e">
        <f>+Shepparton!#REF!</f>
        <v>#REF!</v>
      </c>
      <c r="E85" s="37" t="e">
        <f>+Shepparton!#REF!</f>
        <v>#REF!</v>
      </c>
      <c r="F85" s="38" t="e">
        <f t="shared" si="30"/>
        <v>#REF!</v>
      </c>
      <c r="G85" s="37" t="e">
        <f>+Shepparton!#REF!</f>
        <v>#REF!</v>
      </c>
      <c r="H85" s="20"/>
      <c r="I85" s="39">
        <f>+'Fast Key'!BC84</f>
        <v>0</v>
      </c>
      <c r="J85" s="21">
        <f t="shared" si="47"/>
        <v>0</v>
      </c>
      <c r="K85" s="21">
        <f>+'Fast Key'!BD84</f>
        <v>0</v>
      </c>
      <c r="L85" s="21" t="e">
        <f t="shared" si="47"/>
        <v>#REF!</v>
      </c>
      <c r="M85" s="21">
        <f t="shared" si="47"/>
        <v>103</v>
      </c>
      <c r="N85" s="21">
        <f t="shared" si="47"/>
        <v>60</v>
      </c>
      <c r="O85" s="21">
        <f t="shared" si="47"/>
        <v>65</v>
      </c>
    </row>
    <row r="86" spans="1:15" s="21" customFormat="1" ht="15.75" customHeight="1">
      <c r="A86" s="42" t="s">
        <v>68</v>
      </c>
      <c r="B86" s="35">
        <f t="shared" si="27"/>
        <v>0</v>
      </c>
      <c r="C86" s="43" t="e">
        <f t="shared" si="28"/>
        <v>#REF!</v>
      </c>
      <c r="D86" s="37" t="e">
        <f>+Shepparton!#REF!</f>
        <v>#REF!</v>
      </c>
      <c r="E86" s="37" t="e">
        <f>+Shepparton!#REF!</f>
        <v>#REF!</v>
      </c>
      <c r="F86" s="38" t="e">
        <f t="shared" si="30"/>
        <v>#REF!</v>
      </c>
      <c r="G86" s="37" t="e">
        <f>+Shepparton!#REF!</f>
        <v>#REF!</v>
      </c>
      <c r="H86" s="59"/>
      <c r="I86" s="39">
        <f>+'Fast Key'!BC85</f>
        <v>0</v>
      </c>
      <c r="J86" s="21">
        <f t="shared" si="47"/>
        <v>0</v>
      </c>
      <c r="K86" s="21">
        <f>+'Fast Key'!BD85</f>
        <v>0</v>
      </c>
      <c r="L86" s="21" t="e">
        <f t="shared" si="47"/>
        <v>#REF!</v>
      </c>
      <c r="M86" s="21">
        <f t="shared" si="47"/>
        <v>103</v>
      </c>
      <c r="N86" s="21">
        <f t="shared" si="47"/>
        <v>60</v>
      </c>
      <c r="O86" s="21">
        <f t="shared" si="47"/>
        <v>65</v>
      </c>
    </row>
    <row r="87" spans="1:15" s="21" customFormat="1" ht="15.75" customHeight="1">
      <c r="A87" s="42" t="s">
        <v>69</v>
      </c>
      <c r="B87" s="35">
        <f t="shared" si="27"/>
        <v>0</v>
      </c>
      <c r="C87" s="43" t="e">
        <f t="shared" si="28"/>
        <v>#REF!</v>
      </c>
      <c r="D87" s="37" t="e">
        <f>+Shepparton!#REF!</f>
        <v>#REF!</v>
      </c>
      <c r="E87" s="37" t="e">
        <f>+Shepparton!#REF!</f>
        <v>#REF!</v>
      </c>
      <c r="F87" s="38" t="e">
        <f t="shared" si="30"/>
        <v>#REF!</v>
      </c>
      <c r="G87" s="37" t="e">
        <f>+Shepparton!#REF!</f>
        <v>#REF!</v>
      </c>
      <c r="H87" s="59"/>
      <c r="I87" s="39">
        <f>+'Fast Key'!BC86</f>
        <v>0</v>
      </c>
      <c r="J87" s="21">
        <f t="shared" si="47"/>
        <v>0</v>
      </c>
      <c r="K87" s="21">
        <f>+'Fast Key'!BD86</f>
        <v>0</v>
      </c>
      <c r="L87" s="21" t="e">
        <f t="shared" si="47"/>
        <v>#REF!</v>
      </c>
      <c r="M87" s="21">
        <f t="shared" si="47"/>
        <v>103</v>
      </c>
      <c r="N87" s="21">
        <f t="shared" si="47"/>
        <v>60</v>
      </c>
      <c r="O87" s="21">
        <f t="shared" si="47"/>
        <v>65</v>
      </c>
    </row>
    <row r="88" spans="1:15" s="21" customFormat="1" ht="15.75" customHeight="1">
      <c r="A88" s="42" t="s">
        <v>70</v>
      </c>
      <c r="B88" s="35">
        <f t="shared" si="27"/>
        <v>0</v>
      </c>
      <c r="C88" s="43" t="e">
        <f t="shared" si="28"/>
        <v>#REF!</v>
      </c>
      <c r="D88" s="37" t="e">
        <f>+Shepparton!#REF!</f>
        <v>#REF!</v>
      </c>
      <c r="E88" s="37" t="e">
        <f>+Shepparton!#REF!</f>
        <v>#REF!</v>
      </c>
      <c r="F88" s="38" t="e">
        <f t="shared" si="30"/>
        <v>#REF!</v>
      </c>
      <c r="G88" s="37" t="e">
        <f>+Shepparton!#REF!</f>
        <v>#REF!</v>
      </c>
      <c r="H88" s="59"/>
      <c r="I88" s="39">
        <f>+'Fast Key'!BC87</f>
        <v>0</v>
      </c>
      <c r="J88" s="21">
        <f t="shared" si="47"/>
        <v>0</v>
      </c>
      <c r="K88" s="21">
        <f>+'Fast Key'!BD87</f>
        <v>0</v>
      </c>
      <c r="L88" s="21" t="e">
        <f t="shared" si="47"/>
        <v>#REF!</v>
      </c>
      <c r="M88" s="21">
        <f t="shared" si="47"/>
        <v>103</v>
      </c>
      <c r="N88" s="21">
        <f t="shared" si="47"/>
        <v>60</v>
      </c>
      <c r="O88" s="21">
        <f t="shared" si="47"/>
        <v>65</v>
      </c>
    </row>
    <row r="89" spans="1:15" s="21" customFormat="1" ht="15.75" customHeight="1">
      <c r="A89" s="42" t="s">
        <v>71</v>
      </c>
      <c r="B89" s="35">
        <f t="shared" si="27"/>
        <v>0</v>
      </c>
      <c r="C89" s="43" t="e">
        <f t="shared" si="28"/>
        <v>#REF!</v>
      </c>
      <c r="D89" s="37" t="e">
        <f>+Shepparton!#REF!</f>
        <v>#REF!</v>
      </c>
      <c r="E89" s="37" t="e">
        <f>+Shepparton!#REF!</f>
        <v>#REF!</v>
      </c>
      <c r="F89" s="38" t="e">
        <f t="shared" si="30"/>
        <v>#REF!</v>
      </c>
      <c r="G89" s="37" t="e">
        <f>+Shepparton!#REF!</f>
        <v>#REF!</v>
      </c>
      <c r="H89" s="59"/>
      <c r="I89" s="39">
        <f>+'Fast Key'!BC88</f>
        <v>0</v>
      </c>
      <c r="J89" s="21">
        <f>+J87</f>
        <v>0</v>
      </c>
      <c r="K89" s="21">
        <f>+'Fast Key'!BD88</f>
        <v>0</v>
      </c>
      <c r="L89" s="21" t="e">
        <f>+L87</f>
        <v>#REF!</v>
      </c>
      <c r="M89" s="21">
        <f>+M87</f>
        <v>103</v>
      </c>
      <c r="N89" s="21">
        <f>+N87</f>
        <v>60</v>
      </c>
      <c r="O89" s="21">
        <f>+O87</f>
        <v>65</v>
      </c>
    </row>
    <row r="90" spans="1:15" s="21" customFormat="1" ht="13.5" customHeight="1" thickBot="1">
      <c r="C90" s="44"/>
      <c r="D90" s="44"/>
      <c r="E90" s="44"/>
      <c r="F90" s="60"/>
      <c r="G90" s="45"/>
      <c r="H90" s="20"/>
      <c r="L90" s="39"/>
    </row>
    <row r="91" spans="1:15" s="21" customFormat="1" ht="13.5" customHeight="1">
      <c r="A91" s="46" t="s">
        <v>165</v>
      </c>
      <c r="B91" s="47"/>
      <c r="C91" s="44"/>
      <c r="D91" s="44"/>
      <c r="E91" s="48" t="s">
        <v>166</v>
      </c>
      <c r="F91" s="49"/>
      <c r="G91" s="50"/>
      <c r="H91" s="20"/>
      <c r="L91" s="39"/>
    </row>
    <row r="92" spans="1:15" s="21" customFormat="1" ht="13.5" customHeight="1">
      <c r="A92" s="51" t="s">
        <v>167</v>
      </c>
      <c r="B92" s="52"/>
      <c r="C92" s="44"/>
      <c r="D92" s="44"/>
      <c r="E92" s="53" t="s">
        <v>168</v>
      </c>
      <c r="G92" s="22"/>
      <c r="H92" s="20"/>
      <c r="L92" s="39"/>
    </row>
    <row r="93" spans="1:15" s="21" customFormat="1" ht="13.5" customHeight="1">
      <c r="A93" s="51" t="s">
        <v>169</v>
      </c>
      <c r="B93" s="52"/>
      <c r="C93" s="44"/>
      <c r="D93" s="44"/>
      <c r="E93" s="53" t="s">
        <v>170</v>
      </c>
      <c r="G93" s="22"/>
      <c r="H93" s="20"/>
      <c r="L93" s="39"/>
    </row>
    <row r="94" spans="1:15" s="21" customFormat="1" ht="13.5" customHeight="1">
      <c r="A94" s="51" t="s">
        <v>171</v>
      </c>
      <c r="B94" s="52"/>
      <c r="C94" s="44"/>
      <c r="D94" s="44"/>
      <c r="E94" s="53" t="s">
        <v>172</v>
      </c>
      <c r="G94" s="22"/>
      <c r="H94" s="20"/>
      <c r="L94" s="39"/>
    </row>
    <row r="95" spans="1:15" s="21" customFormat="1" ht="13.5" customHeight="1">
      <c r="A95" s="51" t="s">
        <v>173</v>
      </c>
      <c r="B95" s="52"/>
      <c r="C95" s="44"/>
      <c r="D95" s="44"/>
      <c r="E95" s="53" t="s">
        <v>174</v>
      </c>
      <c r="G95" s="22"/>
      <c r="H95" s="20"/>
      <c r="L95" s="39"/>
    </row>
    <row r="96" spans="1:15" s="21" customFormat="1" ht="13.5" customHeight="1">
      <c r="A96" s="51"/>
      <c r="B96" s="52"/>
      <c r="C96" s="44"/>
      <c r="D96" s="44"/>
      <c r="E96" s="53" t="s">
        <v>175</v>
      </c>
      <c r="G96" s="22"/>
      <c r="H96" s="20"/>
      <c r="L96" s="39"/>
    </row>
    <row r="97" spans="1:15" s="21" customFormat="1" ht="13.5" customHeight="1" thickBot="1">
      <c r="A97" s="54"/>
      <c r="B97" s="55"/>
      <c r="C97" s="44"/>
      <c r="D97" s="44"/>
      <c r="E97" s="56" t="s">
        <v>176</v>
      </c>
      <c r="F97" s="57"/>
      <c r="G97" s="58"/>
      <c r="H97" s="20"/>
      <c r="L97" s="39"/>
    </row>
    <row r="98" spans="1:15" s="21" customFormat="1" ht="13.5" customHeight="1">
      <c r="A98" s="521" t="s">
        <v>191</v>
      </c>
      <c r="B98" s="521"/>
      <c r="C98" s="521"/>
      <c r="D98" s="521"/>
      <c r="E98" s="521"/>
      <c r="F98" s="521"/>
      <c r="G98" s="521"/>
      <c r="H98" s="20"/>
    </row>
    <row r="99" spans="1:15" s="21" customFormat="1" ht="13.5" customHeight="1" thickBot="1">
      <c r="A99" s="23" t="s">
        <v>1081</v>
      </c>
      <c r="F99" s="24"/>
      <c r="G99" s="25"/>
      <c r="H99" s="20"/>
    </row>
    <row r="100" spans="1:15" s="21" customFormat="1" ht="91.5" customHeight="1" thickBot="1">
      <c r="A100" s="26" t="s">
        <v>153</v>
      </c>
      <c r="B100" s="27" t="s">
        <v>154</v>
      </c>
      <c r="C100" s="28" t="s">
        <v>155</v>
      </c>
      <c r="D100" s="28" t="s">
        <v>156</v>
      </c>
      <c r="E100" s="61" t="s">
        <v>157</v>
      </c>
      <c r="F100" s="29" t="s">
        <v>158</v>
      </c>
      <c r="G100" s="28" t="s">
        <v>159</v>
      </c>
      <c r="H100" s="30"/>
      <c r="I100" s="31" t="s">
        <v>11</v>
      </c>
      <c r="J100" s="32" t="s">
        <v>160</v>
      </c>
      <c r="K100" s="32"/>
      <c r="L100" s="33" t="s">
        <v>161</v>
      </c>
      <c r="M100" s="33" t="s">
        <v>162</v>
      </c>
      <c r="N100" s="33" t="s">
        <v>163</v>
      </c>
      <c r="O100" s="33" t="s">
        <v>164</v>
      </c>
    </row>
    <row r="101" spans="1:15" s="21" customFormat="1" ht="15.75" customHeight="1">
      <c r="A101" s="42" t="s">
        <v>72</v>
      </c>
      <c r="B101" s="35">
        <f t="shared" ref="B101:B122" si="48">+CEILING(I101+J101+K101,10)</f>
        <v>0</v>
      </c>
      <c r="C101" s="43" t="e">
        <f>+L101</f>
        <v>#REF!</v>
      </c>
      <c r="D101" s="37" t="e">
        <f>+Shepparton!#REF!</f>
        <v>#REF!</v>
      </c>
      <c r="E101" s="37" t="e">
        <f>+Shepparton!#REF!</f>
        <v>#REF!</v>
      </c>
      <c r="F101" s="38" t="e">
        <f>SUM(B101:E101)</f>
        <v>#REF!</v>
      </c>
      <c r="G101" s="37" t="e">
        <f>+Shepparton!#REF!</f>
        <v>#REF!</v>
      </c>
      <c r="H101" s="20"/>
      <c r="I101" s="39">
        <f>+'Fast Key'!BC91</f>
        <v>0</v>
      </c>
      <c r="J101" s="21">
        <f>+J87</f>
        <v>0</v>
      </c>
      <c r="K101" s="21">
        <f>+'Fast Key'!BD91</f>
        <v>0</v>
      </c>
      <c r="L101" s="21" t="e">
        <f>+L87</f>
        <v>#REF!</v>
      </c>
      <c r="M101" s="21">
        <f>+M87</f>
        <v>103</v>
      </c>
      <c r="N101" s="21">
        <f>+N87</f>
        <v>60</v>
      </c>
      <c r="O101" s="21">
        <f>+O87</f>
        <v>65</v>
      </c>
    </row>
    <row r="102" spans="1:15" s="21" customFormat="1" ht="15.75" customHeight="1">
      <c r="A102" s="42" t="s">
        <v>73</v>
      </c>
      <c r="B102" s="35">
        <f t="shared" si="48"/>
        <v>0</v>
      </c>
      <c r="C102" s="43" t="e">
        <f>+L102</f>
        <v>#REF!</v>
      </c>
      <c r="D102" s="37" t="e">
        <f>+Shepparton!#REF!</f>
        <v>#REF!</v>
      </c>
      <c r="E102" s="37" t="e">
        <f>+Shepparton!#REF!</f>
        <v>#REF!</v>
      </c>
      <c r="F102" s="38" t="e">
        <f>SUM(B102:E102)</f>
        <v>#REF!</v>
      </c>
      <c r="G102" s="37" t="e">
        <f>+Shepparton!#REF!</f>
        <v>#REF!</v>
      </c>
      <c r="H102" s="20"/>
      <c r="I102" s="39">
        <f>+'Fast Key'!BC92</f>
        <v>0</v>
      </c>
      <c r="J102" s="21">
        <f>+J101</f>
        <v>0</v>
      </c>
      <c r="K102" s="21">
        <f>+'Fast Key'!BD92</f>
        <v>0</v>
      </c>
      <c r="L102" s="21" t="e">
        <f>+L101</f>
        <v>#REF!</v>
      </c>
      <c r="M102" s="21">
        <f>+M101</f>
        <v>103</v>
      </c>
      <c r="N102" s="21">
        <f>+N101</f>
        <v>60</v>
      </c>
      <c r="O102" s="21">
        <f>+O101</f>
        <v>65</v>
      </c>
    </row>
    <row r="103" spans="1:15" s="21" customFormat="1" ht="15.75" customHeight="1">
      <c r="A103" s="42" t="s">
        <v>74</v>
      </c>
      <c r="B103" s="35">
        <f t="shared" si="48"/>
        <v>0</v>
      </c>
      <c r="C103" s="43" t="e">
        <f>+L103</f>
        <v>#REF!</v>
      </c>
      <c r="D103" s="37" t="e">
        <f>+Shepparton!#REF!</f>
        <v>#REF!</v>
      </c>
      <c r="E103" s="37" t="e">
        <f>+Shepparton!#REF!</f>
        <v>#REF!</v>
      </c>
      <c r="F103" s="38" t="e">
        <f>SUM(B103:E103)</f>
        <v>#REF!</v>
      </c>
      <c r="G103" s="37" t="e">
        <f>+Shepparton!#REF!</f>
        <v>#REF!</v>
      </c>
      <c r="H103" s="20"/>
      <c r="I103" s="39">
        <f>+'Fast Key'!BC93</f>
        <v>0</v>
      </c>
      <c r="J103" s="21">
        <f t="shared" ref="J103:O122" si="49">+J102</f>
        <v>0</v>
      </c>
      <c r="K103" s="21">
        <f>+'Fast Key'!BD93</f>
        <v>0</v>
      </c>
      <c r="L103" s="21" t="e">
        <f t="shared" si="49"/>
        <v>#REF!</v>
      </c>
      <c r="M103" s="21">
        <f t="shared" si="49"/>
        <v>103</v>
      </c>
      <c r="N103" s="21">
        <f t="shared" si="49"/>
        <v>60</v>
      </c>
      <c r="O103" s="21">
        <f t="shared" si="49"/>
        <v>65</v>
      </c>
    </row>
    <row r="104" spans="1:15" s="21" customFormat="1" ht="15.75" customHeight="1">
      <c r="A104" s="42" t="s">
        <v>75</v>
      </c>
      <c r="B104" s="35">
        <f t="shared" si="48"/>
        <v>0</v>
      </c>
      <c r="C104" s="43" t="e">
        <f t="shared" ref="C104:C122" si="50">+L104</f>
        <v>#REF!</v>
      </c>
      <c r="D104" s="37" t="e">
        <f>+Shepparton!#REF!</f>
        <v>#REF!</v>
      </c>
      <c r="E104" s="37" t="e">
        <f>+Shepparton!#REF!</f>
        <v>#REF!</v>
      </c>
      <c r="F104" s="38" t="e">
        <f t="shared" ref="F104:F122" si="51">SUM(B104:E104)</f>
        <v>#REF!</v>
      </c>
      <c r="G104" s="37" t="e">
        <f>+Shepparton!#REF!</f>
        <v>#REF!</v>
      </c>
      <c r="H104" s="20"/>
      <c r="I104" s="39">
        <f>+'Fast Key'!BC94</f>
        <v>0</v>
      </c>
      <c r="J104" s="21">
        <f t="shared" si="49"/>
        <v>0</v>
      </c>
      <c r="K104" s="21">
        <f>+'Fast Key'!BD94</f>
        <v>0</v>
      </c>
      <c r="L104" s="21" t="e">
        <f t="shared" si="49"/>
        <v>#REF!</v>
      </c>
      <c r="M104" s="21">
        <f t="shared" si="49"/>
        <v>103</v>
      </c>
      <c r="N104" s="21">
        <f t="shared" si="49"/>
        <v>60</v>
      </c>
      <c r="O104" s="21">
        <f t="shared" si="49"/>
        <v>65</v>
      </c>
    </row>
    <row r="105" spans="1:15" s="21" customFormat="1" ht="15.75" customHeight="1">
      <c r="A105" s="42" t="s">
        <v>76</v>
      </c>
      <c r="B105" s="35">
        <f t="shared" si="48"/>
        <v>0</v>
      </c>
      <c r="C105" s="43" t="e">
        <f t="shared" si="50"/>
        <v>#REF!</v>
      </c>
      <c r="D105" s="37" t="e">
        <f>+Shepparton!#REF!</f>
        <v>#REF!</v>
      </c>
      <c r="E105" s="37" t="e">
        <f>+Shepparton!#REF!</f>
        <v>#REF!</v>
      </c>
      <c r="F105" s="38" t="e">
        <f t="shared" si="51"/>
        <v>#REF!</v>
      </c>
      <c r="G105" s="37" t="e">
        <f>+Shepparton!#REF!</f>
        <v>#REF!</v>
      </c>
      <c r="H105" s="20"/>
      <c r="I105" s="39">
        <f>+'Fast Key'!BC95</f>
        <v>0</v>
      </c>
      <c r="J105" s="21">
        <f t="shared" si="49"/>
        <v>0</v>
      </c>
      <c r="K105" s="21">
        <f>+'Fast Key'!BD95</f>
        <v>0</v>
      </c>
      <c r="L105" s="21" t="e">
        <f t="shared" si="49"/>
        <v>#REF!</v>
      </c>
      <c r="M105" s="21">
        <f t="shared" si="49"/>
        <v>103</v>
      </c>
      <c r="N105" s="21">
        <f t="shared" si="49"/>
        <v>60</v>
      </c>
      <c r="O105" s="21">
        <f t="shared" si="49"/>
        <v>65</v>
      </c>
    </row>
    <row r="106" spans="1:15" s="21" customFormat="1" ht="15.75" customHeight="1">
      <c r="A106" s="42" t="s">
        <v>811</v>
      </c>
      <c r="B106" s="35">
        <f t="shared" si="48"/>
        <v>0</v>
      </c>
      <c r="C106" s="43" t="e">
        <f>+L106</f>
        <v>#REF!</v>
      </c>
      <c r="D106" s="37" t="e">
        <f>+Shepparton!#REF!</f>
        <v>#REF!</v>
      </c>
      <c r="E106" s="37" t="e">
        <f>+Shepparton!#REF!</f>
        <v>#REF!</v>
      </c>
      <c r="F106" s="38" t="e">
        <f>SUM(B106:E106)</f>
        <v>#REF!</v>
      </c>
      <c r="G106" s="37" t="e">
        <f>+Shepparton!#REF!</f>
        <v>#REF!</v>
      </c>
      <c r="H106" s="20"/>
      <c r="I106" s="39">
        <f>+'Fast Key'!BC96</f>
        <v>0</v>
      </c>
      <c r="J106" s="21">
        <f>+J107</f>
        <v>0</v>
      </c>
      <c r="K106" s="21">
        <f>+'Fast Key'!BD96</f>
        <v>0</v>
      </c>
      <c r="L106" s="21" t="e">
        <f>+L107</f>
        <v>#REF!</v>
      </c>
      <c r="M106" s="21">
        <f>+M107</f>
        <v>103</v>
      </c>
      <c r="N106" s="21">
        <f>+N107</f>
        <v>60</v>
      </c>
      <c r="O106" s="21">
        <f>+O107</f>
        <v>65</v>
      </c>
    </row>
    <row r="107" spans="1:15" s="21" customFormat="1" ht="15.75" customHeight="1">
      <c r="A107" s="42" t="s">
        <v>77</v>
      </c>
      <c r="B107" s="35">
        <f t="shared" si="48"/>
        <v>0</v>
      </c>
      <c r="C107" s="43" t="e">
        <f t="shared" si="50"/>
        <v>#REF!</v>
      </c>
      <c r="D107" s="37" t="e">
        <f>+Shepparton!#REF!</f>
        <v>#REF!</v>
      </c>
      <c r="E107" s="37" t="e">
        <f>+Shepparton!#REF!</f>
        <v>#REF!</v>
      </c>
      <c r="F107" s="38" t="e">
        <f>SUM(B107:E107)</f>
        <v>#REF!</v>
      </c>
      <c r="G107" s="37" t="e">
        <f>+Shepparton!#REF!</f>
        <v>#REF!</v>
      </c>
      <c r="H107" s="20"/>
      <c r="I107" s="39">
        <f>+'Fast Key'!BC97</f>
        <v>0</v>
      </c>
      <c r="J107" s="21">
        <f t="shared" ref="J107:O108" si="52">+J105</f>
        <v>0</v>
      </c>
      <c r="K107" s="21">
        <f>+'Fast Key'!BD97</f>
        <v>0</v>
      </c>
      <c r="L107" s="21" t="e">
        <f t="shared" si="52"/>
        <v>#REF!</v>
      </c>
      <c r="M107" s="21">
        <f t="shared" si="52"/>
        <v>103</v>
      </c>
      <c r="N107" s="21">
        <f t="shared" si="52"/>
        <v>60</v>
      </c>
      <c r="O107" s="21">
        <f t="shared" si="52"/>
        <v>65</v>
      </c>
    </row>
    <row r="108" spans="1:15" s="21" customFormat="1" ht="15.75" customHeight="1">
      <c r="A108" s="42" t="s">
        <v>1012</v>
      </c>
      <c r="B108" s="35">
        <f t="shared" si="48"/>
        <v>0</v>
      </c>
      <c r="C108" s="43" t="e">
        <f t="shared" ref="C108:C109" si="53">+L108</f>
        <v>#REF!</v>
      </c>
      <c r="D108" s="37" t="e">
        <f>+Shepparton!#REF!</f>
        <v>#REF!</v>
      </c>
      <c r="E108" s="37" t="e">
        <f>+Shepparton!#REF!</f>
        <v>#REF!</v>
      </c>
      <c r="F108" s="38" t="e">
        <f>SUM(B108:E108)</f>
        <v>#REF!</v>
      </c>
      <c r="G108" s="37" t="e">
        <f>+Shepparton!#REF!</f>
        <v>#REF!</v>
      </c>
      <c r="H108" s="20"/>
      <c r="I108" s="39">
        <f>+'Fast Key'!BC98</f>
        <v>0</v>
      </c>
      <c r="J108" s="21">
        <f t="shared" si="52"/>
        <v>0</v>
      </c>
      <c r="K108" s="21">
        <f>+'Fast Key'!BD98</f>
        <v>0</v>
      </c>
      <c r="L108" s="21" t="e">
        <f t="shared" si="52"/>
        <v>#REF!</v>
      </c>
      <c r="M108" s="21">
        <f t="shared" si="52"/>
        <v>103</v>
      </c>
      <c r="N108" s="21">
        <f t="shared" si="52"/>
        <v>60</v>
      </c>
      <c r="O108" s="21">
        <f t="shared" si="52"/>
        <v>65</v>
      </c>
    </row>
    <row r="109" spans="1:15" s="21" customFormat="1" ht="15.75" customHeight="1">
      <c r="A109" s="42" t="s">
        <v>78</v>
      </c>
      <c r="B109" s="35">
        <f t="shared" si="48"/>
        <v>0</v>
      </c>
      <c r="C109" s="43" t="e">
        <f t="shared" si="53"/>
        <v>#REF!</v>
      </c>
      <c r="D109" s="37" t="e">
        <f>+Shepparton!#REF!</f>
        <v>#REF!</v>
      </c>
      <c r="E109" s="37" t="e">
        <f>+Shepparton!#REF!</f>
        <v>#REF!</v>
      </c>
      <c r="F109" s="38" t="e">
        <f>SUM(B109:E109)</f>
        <v>#REF!</v>
      </c>
      <c r="G109" s="37" t="e">
        <f>+Shepparton!#REF!</f>
        <v>#REF!</v>
      </c>
      <c r="H109" s="20"/>
      <c r="I109" s="39">
        <f>+'Fast Key'!BC99</f>
        <v>0</v>
      </c>
      <c r="J109" s="21">
        <f>+J106</f>
        <v>0</v>
      </c>
      <c r="K109" s="21">
        <f>+'Fast Key'!BD99</f>
        <v>0</v>
      </c>
      <c r="L109" s="21" t="e">
        <f>+L106</f>
        <v>#REF!</v>
      </c>
      <c r="M109" s="21">
        <f>+M106</f>
        <v>103</v>
      </c>
      <c r="N109" s="21">
        <f>+N106</f>
        <v>60</v>
      </c>
      <c r="O109" s="21">
        <f>+O106</f>
        <v>65</v>
      </c>
    </row>
    <row r="110" spans="1:15" s="21" customFormat="1" ht="15.75" customHeight="1">
      <c r="A110" s="42" t="s">
        <v>1052</v>
      </c>
      <c r="B110" s="35">
        <f t="shared" si="48"/>
        <v>0</v>
      </c>
      <c r="C110" s="43" t="e">
        <f t="shared" ref="C110:C111" si="54">+L110</f>
        <v>#REF!</v>
      </c>
      <c r="D110" s="37" t="e">
        <f>+Shepparton!#REF!</f>
        <v>#REF!</v>
      </c>
      <c r="E110" s="37" t="e">
        <f>+Shepparton!#REF!</f>
        <v>#REF!</v>
      </c>
      <c r="F110" s="38" t="e">
        <f t="shared" ref="F110:F111" si="55">SUM(B110:E110)</f>
        <v>#REF!</v>
      </c>
      <c r="G110" s="37" t="e">
        <f>+Shepparton!#REF!</f>
        <v>#REF!</v>
      </c>
      <c r="H110" s="20"/>
      <c r="I110" s="39">
        <f>+'Fast Key'!BC100</f>
        <v>0</v>
      </c>
      <c r="J110" s="21">
        <f t="shared" ref="J110:O110" si="56">+J107</f>
        <v>0</v>
      </c>
      <c r="K110" s="21">
        <f>+'Fast Key'!BD100</f>
        <v>0</v>
      </c>
      <c r="L110" s="21" t="e">
        <f t="shared" si="56"/>
        <v>#REF!</v>
      </c>
      <c r="M110" s="21">
        <f t="shared" si="56"/>
        <v>103</v>
      </c>
      <c r="N110" s="21">
        <f t="shared" si="56"/>
        <v>60</v>
      </c>
      <c r="O110" s="21">
        <f t="shared" si="56"/>
        <v>65</v>
      </c>
    </row>
    <row r="111" spans="1:15" s="21" customFormat="1" ht="15.75" customHeight="1">
      <c r="A111" s="42" t="s">
        <v>79</v>
      </c>
      <c r="B111" s="35">
        <f t="shared" si="48"/>
        <v>0</v>
      </c>
      <c r="C111" s="43" t="e">
        <f t="shared" si="54"/>
        <v>#REF!</v>
      </c>
      <c r="D111" s="37" t="e">
        <f>+Shepparton!#REF!</f>
        <v>#REF!</v>
      </c>
      <c r="E111" s="37" t="e">
        <f>+Shepparton!#REF!</f>
        <v>#REF!</v>
      </c>
      <c r="F111" s="38" t="e">
        <f t="shared" si="55"/>
        <v>#REF!</v>
      </c>
      <c r="G111" s="37" t="e">
        <f>+Shepparton!#REF!</f>
        <v>#REF!</v>
      </c>
      <c r="H111" s="20"/>
      <c r="I111" s="39">
        <f>+'Fast Key'!BC101</f>
        <v>0</v>
      </c>
      <c r="J111" s="21">
        <f t="shared" ref="J111:O111" si="57">+J108</f>
        <v>0</v>
      </c>
      <c r="K111" s="21">
        <f>+'Fast Key'!BD101</f>
        <v>0</v>
      </c>
      <c r="L111" s="21" t="e">
        <f t="shared" si="57"/>
        <v>#REF!</v>
      </c>
      <c r="M111" s="21">
        <f t="shared" si="57"/>
        <v>103</v>
      </c>
      <c r="N111" s="21">
        <f t="shared" si="57"/>
        <v>60</v>
      </c>
      <c r="O111" s="21">
        <f t="shared" si="57"/>
        <v>65</v>
      </c>
    </row>
    <row r="112" spans="1:15" s="21" customFormat="1" ht="15.75" customHeight="1">
      <c r="A112" s="42" t="s">
        <v>80</v>
      </c>
      <c r="B112" s="35">
        <f t="shared" si="48"/>
        <v>0</v>
      </c>
      <c r="C112" s="43" t="e">
        <f t="shared" si="50"/>
        <v>#REF!</v>
      </c>
      <c r="D112" s="37" t="e">
        <f>+Shepparton!#REF!</f>
        <v>#REF!</v>
      </c>
      <c r="E112" s="37" t="e">
        <f>+Shepparton!#REF!</f>
        <v>#REF!</v>
      </c>
      <c r="F112" s="38" t="e">
        <f t="shared" si="51"/>
        <v>#REF!</v>
      </c>
      <c r="G112" s="37" t="e">
        <f>+Shepparton!#REF!</f>
        <v>#REF!</v>
      </c>
      <c r="H112" s="20"/>
      <c r="I112" s="39">
        <f>+'Fast Key'!BC102</f>
        <v>0</v>
      </c>
      <c r="J112" s="21">
        <f t="shared" si="49"/>
        <v>0</v>
      </c>
      <c r="K112" s="21">
        <f>+'Fast Key'!BD102</f>
        <v>0</v>
      </c>
      <c r="L112" s="21" t="e">
        <f t="shared" si="49"/>
        <v>#REF!</v>
      </c>
      <c r="M112" s="21">
        <f t="shared" si="49"/>
        <v>103</v>
      </c>
      <c r="N112" s="21">
        <f t="shared" si="49"/>
        <v>60</v>
      </c>
      <c r="O112" s="21">
        <f t="shared" si="49"/>
        <v>65</v>
      </c>
    </row>
    <row r="113" spans="1:15" s="21" customFormat="1" ht="15.75" customHeight="1">
      <c r="A113" s="42" t="s">
        <v>81</v>
      </c>
      <c r="B113" s="35">
        <f t="shared" si="48"/>
        <v>0</v>
      </c>
      <c r="C113" s="43" t="e">
        <f t="shared" si="50"/>
        <v>#REF!</v>
      </c>
      <c r="D113" s="37" t="e">
        <f>+Shepparton!#REF!</f>
        <v>#REF!</v>
      </c>
      <c r="E113" s="37" t="e">
        <f>+Shepparton!#REF!</f>
        <v>#REF!</v>
      </c>
      <c r="F113" s="38" t="e">
        <f t="shared" si="51"/>
        <v>#REF!</v>
      </c>
      <c r="G113" s="37" t="e">
        <f>+Shepparton!#REF!</f>
        <v>#REF!</v>
      </c>
      <c r="H113" s="20"/>
      <c r="I113" s="39">
        <f>+'Fast Key'!BC103</f>
        <v>0</v>
      </c>
      <c r="J113" s="21">
        <f t="shared" si="49"/>
        <v>0</v>
      </c>
      <c r="K113" s="21">
        <f>+'Fast Key'!BD103</f>
        <v>0</v>
      </c>
      <c r="L113" s="21" t="e">
        <f t="shared" si="49"/>
        <v>#REF!</v>
      </c>
      <c r="M113" s="21">
        <f t="shared" si="49"/>
        <v>103</v>
      </c>
      <c r="N113" s="21">
        <f t="shared" si="49"/>
        <v>60</v>
      </c>
      <c r="O113" s="21">
        <f t="shared" si="49"/>
        <v>65</v>
      </c>
    </row>
    <row r="114" spans="1:15" s="21" customFormat="1" ht="15.75" customHeight="1">
      <c r="A114" s="42" t="s">
        <v>82</v>
      </c>
      <c r="B114" s="35">
        <f t="shared" si="48"/>
        <v>0</v>
      </c>
      <c r="C114" s="43" t="e">
        <f t="shared" si="50"/>
        <v>#REF!</v>
      </c>
      <c r="D114" s="37" t="e">
        <f>+Shepparton!#REF!</f>
        <v>#REF!</v>
      </c>
      <c r="E114" s="37" t="e">
        <f>+Shepparton!#REF!</f>
        <v>#REF!</v>
      </c>
      <c r="F114" s="38" t="e">
        <f t="shared" si="51"/>
        <v>#REF!</v>
      </c>
      <c r="G114" s="37" t="e">
        <f>+Shepparton!#REF!</f>
        <v>#REF!</v>
      </c>
      <c r="H114" s="20"/>
      <c r="I114" s="39">
        <f>+'Fast Key'!BC104</f>
        <v>0</v>
      </c>
      <c r="J114" s="21">
        <f t="shared" si="49"/>
        <v>0</v>
      </c>
      <c r="K114" s="21">
        <f>+'Fast Key'!BD104</f>
        <v>0</v>
      </c>
      <c r="L114" s="21" t="e">
        <f t="shared" si="49"/>
        <v>#REF!</v>
      </c>
      <c r="M114" s="21">
        <f t="shared" si="49"/>
        <v>103</v>
      </c>
      <c r="N114" s="21">
        <f t="shared" si="49"/>
        <v>60</v>
      </c>
      <c r="O114" s="21">
        <f t="shared" si="49"/>
        <v>65</v>
      </c>
    </row>
    <row r="115" spans="1:15" s="21" customFormat="1" ht="15.75" customHeight="1">
      <c r="A115" s="42" t="s">
        <v>83</v>
      </c>
      <c r="B115" s="35">
        <f t="shared" si="48"/>
        <v>0</v>
      </c>
      <c r="C115" s="43" t="e">
        <f t="shared" si="50"/>
        <v>#REF!</v>
      </c>
      <c r="D115" s="37" t="e">
        <f>+Shepparton!#REF!</f>
        <v>#REF!</v>
      </c>
      <c r="E115" s="37" t="e">
        <f>+Shepparton!#REF!</f>
        <v>#REF!</v>
      </c>
      <c r="F115" s="38" t="e">
        <f t="shared" si="51"/>
        <v>#REF!</v>
      </c>
      <c r="G115" s="37" t="e">
        <f>+Shepparton!#REF!</f>
        <v>#REF!</v>
      </c>
      <c r="H115" s="20"/>
      <c r="I115" s="39">
        <f>+'Fast Key'!BC105</f>
        <v>0</v>
      </c>
      <c r="J115" s="21">
        <f t="shared" si="49"/>
        <v>0</v>
      </c>
      <c r="K115" s="21">
        <f>+'Fast Key'!BD105</f>
        <v>0</v>
      </c>
      <c r="L115" s="21" t="e">
        <f t="shared" si="49"/>
        <v>#REF!</v>
      </c>
      <c r="M115" s="21">
        <f t="shared" si="49"/>
        <v>103</v>
      </c>
      <c r="N115" s="21">
        <f t="shared" si="49"/>
        <v>60</v>
      </c>
      <c r="O115" s="21">
        <f t="shared" si="49"/>
        <v>65</v>
      </c>
    </row>
    <row r="116" spans="1:15" s="21" customFormat="1" ht="15.75" customHeight="1">
      <c r="A116" s="42" t="s">
        <v>84</v>
      </c>
      <c r="B116" s="35">
        <f t="shared" si="48"/>
        <v>0</v>
      </c>
      <c r="C116" s="43" t="e">
        <f t="shared" si="50"/>
        <v>#REF!</v>
      </c>
      <c r="D116" s="37" t="e">
        <f>+Shepparton!#REF!</f>
        <v>#REF!</v>
      </c>
      <c r="E116" s="37" t="e">
        <f>+Shepparton!#REF!</f>
        <v>#REF!</v>
      </c>
      <c r="F116" s="38" t="e">
        <f t="shared" si="51"/>
        <v>#REF!</v>
      </c>
      <c r="G116" s="37" t="e">
        <f>+Shepparton!#REF!</f>
        <v>#REF!</v>
      </c>
      <c r="H116" s="20"/>
      <c r="I116" s="39">
        <f>+'Fast Key'!BC106</f>
        <v>0</v>
      </c>
      <c r="J116" s="21">
        <f t="shared" si="49"/>
        <v>0</v>
      </c>
      <c r="K116" s="21">
        <f>+'Fast Key'!BD106</f>
        <v>0</v>
      </c>
      <c r="L116" s="21" t="e">
        <f t="shared" si="49"/>
        <v>#REF!</v>
      </c>
      <c r="M116" s="21">
        <f t="shared" si="49"/>
        <v>103</v>
      </c>
      <c r="N116" s="21">
        <f t="shared" si="49"/>
        <v>60</v>
      </c>
      <c r="O116" s="21">
        <f t="shared" si="49"/>
        <v>65</v>
      </c>
    </row>
    <row r="117" spans="1:15" s="21" customFormat="1" ht="15.75" customHeight="1">
      <c r="A117" s="42" t="s">
        <v>995</v>
      </c>
      <c r="B117" s="35">
        <f t="shared" si="48"/>
        <v>0</v>
      </c>
      <c r="C117" s="43" t="e">
        <f>+L117</f>
        <v>#REF!</v>
      </c>
      <c r="D117" s="37" t="e">
        <f>+Shepparton!#REF!</f>
        <v>#REF!</v>
      </c>
      <c r="E117" s="37" t="e">
        <f>+Shepparton!#REF!</f>
        <v>#REF!</v>
      </c>
      <c r="F117" s="38" t="e">
        <f>SUM(B117:E117)</f>
        <v>#REF!</v>
      </c>
      <c r="G117" s="37" t="e">
        <f>+Shepparton!#REF!</f>
        <v>#REF!</v>
      </c>
      <c r="H117" s="20"/>
      <c r="I117" s="39">
        <f>+'Fast Key'!BC107</f>
        <v>0</v>
      </c>
      <c r="J117" s="21">
        <f t="shared" ref="J117:O120" si="58">+J116</f>
        <v>0</v>
      </c>
      <c r="K117" s="21">
        <f>+'Fast Key'!BD107</f>
        <v>0</v>
      </c>
      <c r="L117" s="21" t="e">
        <f t="shared" si="58"/>
        <v>#REF!</v>
      </c>
      <c r="M117" s="21">
        <f t="shared" si="58"/>
        <v>103</v>
      </c>
      <c r="N117" s="21">
        <f t="shared" si="58"/>
        <v>60</v>
      </c>
      <c r="O117" s="21">
        <f t="shared" si="58"/>
        <v>65</v>
      </c>
    </row>
    <row r="118" spans="1:15" s="21" customFormat="1" ht="15.75" customHeight="1">
      <c r="A118" s="42" t="s">
        <v>994</v>
      </c>
      <c r="B118" s="35">
        <f t="shared" si="48"/>
        <v>0</v>
      </c>
      <c r="C118" s="43" t="e">
        <f>+L118</f>
        <v>#REF!</v>
      </c>
      <c r="D118" s="37" t="e">
        <f>+Shepparton!#REF!</f>
        <v>#REF!</v>
      </c>
      <c r="E118" s="37" t="e">
        <f>+Shepparton!#REF!</f>
        <v>#REF!</v>
      </c>
      <c r="F118" s="38" t="e">
        <f>SUM(B118:E118)</f>
        <v>#REF!</v>
      </c>
      <c r="G118" s="37" t="e">
        <f>+Shepparton!#REF!</f>
        <v>#REF!</v>
      </c>
      <c r="H118" s="20"/>
      <c r="I118" s="39">
        <f>+'Fast Key'!BC108</f>
        <v>0</v>
      </c>
      <c r="J118" s="21">
        <f t="shared" si="58"/>
        <v>0</v>
      </c>
      <c r="K118" s="21">
        <f>+'Fast Key'!BD108</f>
        <v>0</v>
      </c>
      <c r="L118" s="21" t="e">
        <f t="shared" si="58"/>
        <v>#REF!</v>
      </c>
      <c r="M118" s="21">
        <f t="shared" si="58"/>
        <v>103</v>
      </c>
      <c r="N118" s="21">
        <f t="shared" si="58"/>
        <v>60</v>
      </c>
      <c r="O118" s="21">
        <f t="shared" si="58"/>
        <v>65</v>
      </c>
    </row>
    <row r="119" spans="1:15" s="21" customFormat="1" ht="15.75" customHeight="1">
      <c r="A119" s="42" t="s">
        <v>993</v>
      </c>
      <c r="B119" s="35">
        <f t="shared" si="48"/>
        <v>0</v>
      </c>
      <c r="C119" s="43" t="e">
        <f>+L119</f>
        <v>#REF!</v>
      </c>
      <c r="D119" s="37" t="e">
        <f>+Shepparton!#REF!</f>
        <v>#REF!</v>
      </c>
      <c r="E119" s="37" t="e">
        <f>+Shepparton!#REF!</f>
        <v>#REF!</v>
      </c>
      <c r="F119" s="38" t="e">
        <f>SUM(B119:E119)</f>
        <v>#REF!</v>
      </c>
      <c r="G119" s="37" t="e">
        <f>+Shepparton!#REF!</f>
        <v>#REF!</v>
      </c>
      <c r="H119" s="20"/>
      <c r="I119" s="39">
        <f>+'Fast Key'!BC109</f>
        <v>0</v>
      </c>
      <c r="J119" s="21">
        <f t="shared" si="58"/>
        <v>0</v>
      </c>
      <c r="K119" s="21">
        <f>+'Fast Key'!BD109</f>
        <v>0</v>
      </c>
      <c r="L119" s="21" t="e">
        <f t="shared" si="58"/>
        <v>#REF!</v>
      </c>
      <c r="M119" s="21">
        <f t="shared" si="58"/>
        <v>103</v>
      </c>
      <c r="N119" s="21">
        <f t="shared" si="58"/>
        <v>60</v>
      </c>
      <c r="O119" s="21">
        <f t="shared" si="58"/>
        <v>65</v>
      </c>
    </row>
    <row r="120" spans="1:15" s="21" customFormat="1" ht="15.75" customHeight="1">
      <c r="A120" s="42" t="s">
        <v>85</v>
      </c>
      <c r="B120" s="35">
        <f t="shared" si="48"/>
        <v>0</v>
      </c>
      <c r="C120" s="43" t="e">
        <f t="shared" si="50"/>
        <v>#REF!</v>
      </c>
      <c r="D120" s="37" t="e">
        <f>+Shepparton!#REF!</f>
        <v>#REF!</v>
      </c>
      <c r="E120" s="37" t="e">
        <f>+Shepparton!#REF!</f>
        <v>#REF!</v>
      </c>
      <c r="F120" s="38" t="e">
        <f t="shared" si="51"/>
        <v>#REF!</v>
      </c>
      <c r="G120" s="37" t="e">
        <f>+Shepparton!#REF!</f>
        <v>#REF!</v>
      </c>
      <c r="H120" s="20"/>
      <c r="I120" s="39">
        <f>+'Fast Key'!BC110</f>
        <v>0</v>
      </c>
      <c r="J120" s="21">
        <f t="shared" si="58"/>
        <v>0</v>
      </c>
      <c r="K120" s="21">
        <f>+'Fast Key'!BD110</f>
        <v>0</v>
      </c>
      <c r="L120" s="21" t="e">
        <f t="shared" si="58"/>
        <v>#REF!</v>
      </c>
      <c r="M120" s="21">
        <f t="shared" si="58"/>
        <v>103</v>
      </c>
      <c r="N120" s="21">
        <f t="shared" si="58"/>
        <v>60</v>
      </c>
      <c r="O120" s="21">
        <f t="shared" si="58"/>
        <v>65</v>
      </c>
    </row>
    <row r="121" spans="1:15" s="21" customFormat="1" ht="15.75" customHeight="1">
      <c r="A121" s="42" t="s">
        <v>86</v>
      </c>
      <c r="B121" s="35">
        <f t="shared" si="48"/>
        <v>0</v>
      </c>
      <c r="C121" s="43" t="e">
        <f t="shared" si="50"/>
        <v>#REF!</v>
      </c>
      <c r="D121" s="37" t="e">
        <f>+Shepparton!#REF!</f>
        <v>#REF!</v>
      </c>
      <c r="E121" s="37" t="e">
        <f>+Shepparton!#REF!</f>
        <v>#REF!</v>
      </c>
      <c r="F121" s="38" t="e">
        <f t="shared" si="51"/>
        <v>#REF!</v>
      </c>
      <c r="G121" s="37" t="e">
        <f>+Shepparton!#REF!</f>
        <v>#REF!</v>
      </c>
      <c r="H121" s="20"/>
      <c r="I121" s="39">
        <f>+'Fast Key'!BC111</f>
        <v>0</v>
      </c>
      <c r="J121" s="21">
        <f t="shared" si="49"/>
        <v>0</v>
      </c>
      <c r="K121" s="21">
        <f>+'Fast Key'!BD111</f>
        <v>0</v>
      </c>
      <c r="L121" s="21" t="e">
        <f t="shared" si="49"/>
        <v>#REF!</v>
      </c>
      <c r="M121" s="21">
        <f t="shared" si="49"/>
        <v>103</v>
      </c>
      <c r="N121" s="21">
        <f t="shared" si="49"/>
        <v>60</v>
      </c>
      <c r="O121" s="21">
        <f t="shared" si="49"/>
        <v>65</v>
      </c>
    </row>
    <row r="122" spans="1:15" s="21" customFormat="1" ht="15.75" customHeight="1">
      <c r="A122" s="42" t="s">
        <v>87</v>
      </c>
      <c r="B122" s="35">
        <f t="shared" si="48"/>
        <v>0</v>
      </c>
      <c r="C122" s="43" t="e">
        <f t="shared" si="50"/>
        <v>#REF!</v>
      </c>
      <c r="D122" s="37" t="e">
        <f>+Shepparton!#REF!</f>
        <v>#REF!</v>
      </c>
      <c r="E122" s="37" t="e">
        <f>+Shepparton!#REF!</f>
        <v>#REF!</v>
      </c>
      <c r="F122" s="38" t="e">
        <f t="shared" si="51"/>
        <v>#REF!</v>
      </c>
      <c r="G122" s="37" t="e">
        <f>+Shepparton!#REF!</f>
        <v>#REF!</v>
      </c>
      <c r="H122" s="20"/>
      <c r="I122" s="39">
        <f>+'Fast Key'!BC112</f>
        <v>0</v>
      </c>
      <c r="J122" s="21">
        <f t="shared" si="49"/>
        <v>0</v>
      </c>
      <c r="K122" s="21">
        <f>+'Fast Key'!BD112</f>
        <v>0</v>
      </c>
      <c r="L122" s="21" t="e">
        <f t="shared" si="49"/>
        <v>#REF!</v>
      </c>
      <c r="M122" s="21">
        <f t="shared" si="49"/>
        <v>103</v>
      </c>
      <c r="N122" s="21">
        <f t="shared" si="49"/>
        <v>60</v>
      </c>
      <c r="O122" s="21">
        <f t="shared" si="49"/>
        <v>65</v>
      </c>
    </row>
    <row r="123" spans="1:15" s="21" customFormat="1" ht="13.5" customHeight="1" thickBot="1">
      <c r="C123" s="44"/>
      <c r="D123" s="44"/>
      <c r="E123" s="44"/>
      <c r="F123" s="45"/>
      <c r="G123" s="45"/>
      <c r="H123" s="20"/>
      <c r="L123" s="39"/>
    </row>
    <row r="124" spans="1:15" s="21" customFormat="1" ht="13.5" customHeight="1">
      <c r="A124" s="46" t="s">
        <v>165</v>
      </c>
      <c r="B124" s="47"/>
      <c r="C124" s="44"/>
      <c r="D124" s="44"/>
      <c r="E124" s="48" t="s">
        <v>166</v>
      </c>
      <c r="F124" s="49"/>
      <c r="G124" s="50"/>
      <c r="H124" s="20"/>
      <c r="L124" s="39"/>
    </row>
    <row r="125" spans="1:15" s="21" customFormat="1" ht="13.5" customHeight="1">
      <c r="A125" s="51" t="s">
        <v>167</v>
      </c>
      <c r="B125" s="52"/>
      <c r="C125" s="44"/>
      <c r="D125" s="44"/>
      <c r="E125" s="53" t="s">
        <v>168</v>
      </c>
      <c r="G125" s="22"/>
      <c r="H125" s="20"/>
      <c r="L125" s="39"/>
    </row>
    <row r="126" spans="1:15" s="21" customFormat="1" ht="13.5" customHeight="1">
      <c r="A126" s="51" t="s">
        <v>169</v>
      </c>
      <c r="B126" s="52"/>
      <c r="C126" s="44"/>
      <c r="D126" s="44"/>
      <c r="E126" s="53" t="s">
        <v>170</v>
      </c>
      <c r="G126" s="22"/>
      <c r="H126" s="20"/>
      <c r="L126" s="39"/>
    </row>
    <row r="127" spans="1:15" s="21" customFormat="1" ht="13.5" customHeight="1">
      <c r="A127" s="51" t="s">
        <v>171</v>
      </c>
      <c r="B127" s="52"/>
      <c r="C127" s="44"/>
      <c r="D127" s="44"/>
      <c r="E127" s="53" t="s">
        <v>172</v>
      </c>
      <c r="G127" s="22"/>
      <c r="H127" s="20"/>
      <c r="L127" s="39"/>
    </row>
    <row r="128" spans="1:15" s="21" customFormat="1" ht="13.5" customHeight="1">
      <c r="A128" s="51" t="s">
        <v>173</v>
      </c>
      <c r="B128" s="52"/>
      <c r="C128" s="44"/>
      <c r="D128" s="44"/>
      <c r="E128" s="53" t="s">
        <v>174</v>
      </c>
      <c r="G128" s="22"/>
      <c r="H128" s="20"/>
      <c r="L128" s="39"/>
    </row>
    <row r="129" spans="1:15" s="21" customFormat="1" ht="13.5" customHeight="1">
      <c r="A129" s="51"/>
      <c r="B129" s="52"/>
      <c r="C129" s="44"/>
      <c r="D129" s="44"/>
      <c r="E129" s="53" t="s">
        <v>175</v>
      </c>
      <c r="G129" s="22"/>
      <c r="H129" s="20"/>
      <c r="L129" s="39"/>
    </row>
    <row r="130" spans="1:15" s="21" customFormat="1" ht="13.5" customHeight="1" thickBot="1">
      <c r="A130" s="54"/>
      <c r="B130" s="55"/>
      <c r="C130" s="44"/>
      <c r="D130" s="44"/>
      <c r="E130" s="56" t="s">
        <v>176</v>
      </c>
      <c r="F130" s="57"/>
      <c r="G130" s="58"/>
      <c r="H130" s="20"/>
      <c r="L130" s="39"/>
    </row>
    <row r="131" spans="1:15" ht="13.5" customHeight="1">
      <c r="E131" s="63"/>
    </row>
    <row r="132" spans="1:15" ht="13.5" customHeight="1">
      <c r="A132" s="21" t="s">
        <v>662</v>
      </c>
      <c r="E132" s="63"/>
    </row>
    <row r="133" spans="1:15" ht="13.5" customHeight="1">
      <c r="A133" s="21"/>
      <c r="E133" s="63"/>
    </row>
    <row r="134" spans="1:15" ht="13.5" customHeight="1">
      <c r="A134" s="260" t="s">
        <v>845</v>
      </c>
      <c r="E134" s="63"/>
    </row>
    <row r="135" spans="1:15" s="21" customFormat="1" ht="13.5" customHeight="1">
      <c r="A135" s="521" t="s">
        <v>191</v>
      </c>
      <c r="B135" s="521"/>
      <c r="C135" s="521"/>
      <c r="D135" s="521"/>
      <c r="E135" s="521"/>
      <c r="F135" s="521"/>
      <c r="G135" s="521"/>
      <c r="H135" s="20"/>
    </row>
    <row r="136" spans="1:15" s="21" customFormat="1" ht="13.5" customHeight="1" thickBot="1">
      <c r="A136" s="23" t="s">
        <v>1082</v>
      </c>
      <c r="B136" s="23"/>
      <c r="C136" s="23"/>
      <c r="D136" s="23"/>
      <c r="E136" s="23"/>
      <c r="F136" s="24"/>
      <c r="G136" s="25"/>
      <c r="H136" s="20"/>
      <c r="L136" s="39"/>
    </row>
    <row r="137" spans="1:15" s="21" customFormat="1" ht="91.5" customHeight="1" thickBot="1">
      <c r="A137" s="26" t="s">
        <v>153</v>
      </c>
      <c r="B137" s="27" t="s">
        <v>154</v>
      </c>
      <c r="C137" s="28" t="s">
        <v>155</v>
      </c>
      <c r="D137" s="28" t="s">
        <v>156</v>
      </c>
      <c r="E137" s="28" t="s">
        <v>157</v>
      </c>
      <c r="F137" s="29" t="s">
        <v>158</v>
      </c>
      <c r="G137" s="28" t="s">
        <v>159</v>
      </c>
      <c r="H137" s="20"/>
      <c r="L137" s="39"/>
    </row>
    <row r="138" spans="1:15" s="21" customFormat="1" ht="15.75" customHeight="1">
      <c r="A138" s="66" t="s">
        <v>88</v>
      </c>
      <c r="B138" s="35">
        <f t="shared" ref="B138:B153" si="59">+CEILING(I138+J138+K138,10)</f>
        <v>0</v>
      </c>
      <c r="C138" s="36" t="e">
        <f>+L138</f>
        <v>#REF!</v>
      </c>
      <c r="D138" s="37" t="e">
        <f>+Shepparton!#REF!</f>
        <v>#REF!</v>
      </c>
      <c r="E138" s="37" t="e">
        <f>+Shepparton!#REF!</f>
        <v>#REF!</v>
      </c>
      <c r="F138" s="38" t="e">
        <f>SUM(B138:E138)</f>
        <v>#REF!</v>
      </c>
      <c r="G138" s="37" t="e">
        <f>+Shepparton!#REF!</f>
        <v>#REF!</v>
      </c>
      <c r="H138" s="20"/>
      <c r="I138" s="39">
        <f>+'Fast Key'!BC115</f>
        <v>0</v>
      </c>
      <c r="J138" s="21">
        <f>+J122</f>
        <v>0</v>
      </c>
      <c r="K138" s="21">
        <f>+'Fast Key'!BD115</f>
        <v>0</v>
      </c>
      <c r="L138" s="21" t="e">
        <f>+L122</f>
        <v>#REF!</v>
      </c>
      <c r="M138" s="21">
        <f>+M122</f>
        <v>103</v>
      </c>
      <c r="N138" s="21">
        <f>+N122</f>
        <v>60</v>
      </c>
      <c r="O138" s="21">
        <f>+O122</f>
        <v>65</v>
      </c>
    </row>
    <row r="139" spans="1:15" s="21" customFormat="1" ht="15.75" customHeight="1">
      <c r="A139" s="67" t="s">
        <v>89</v>
      </c>
      <c r="B139" s="35">
        <f t="shared" si="59"/>
        <v>0</v>
      </c>
      <c r="C139" s="43" t="e">
        <f t="shared" ref="C139:C153" si="60">+L139</f>
        <v>#REF!</v>
      </c>
      <c r="D139" s="37" t="e">
        <f>+Shepparton!#REF!</f>
        <v>#REF!</v>
      </c>
      <c r="E139" s="37" t="e">
        <f>+Shepparton!#REF!</f>
        <v>#REF!</v>
      </c>
      <c r="F139" s="38" t="e">
        <f t="shared" ref="F139:F153" si="61">SUM(B139:E139)</f>
        <v>#REF!</v>
      </c>
      <c r="G139" s="37">
        <v>4030</v>
      </c>
      <c r="H139" s="20"/>
      <c r="I139" s="39">
        <f>+'Fast Key'!BC116</f>
        <v>0</v>
      </c>
      <c r="J139" s="21">
        <f>+J138</f>
        <v>0</v>
      </c>
      <c r="K139" s="21">
        <f>+'Fast Key'!BD116</f>
        <v>0</v>
      </c>
      <c r="L139" s="21" t="e">
        <f>+L138</f>
        <v>#REF!</v>
      </c>
      <c r="M139" s="21">
        <f>+M138</f>
        <v>103</v>
      </c>
      <c r="N139" s="21">
        <f>+N138</f>
        <v>60</v>
      </c>
      <c r="O139" s="21">
        <f>+O138</f>
        <v>65</v>
      </c>
    </row>
    <row r="140" spans="1:15" s="21" customFormat="1" ht="15.75" customHeight="1">
      <c r="A140" s="67" t="s">
        <v>90</v>
      </c>
      <c r="B140" s="35">
        <f t="shared" si="59"/>
        <v>0</v>
      </c>
      <c r="C140" s="43" t="e">
        <f t="shared" si="60"/>
        <v>#REF!</v>
      </c>
      <c r="D140" s="37" t="e">
        <f>+Shepparton!#REF!</f>
        <v>#REF!</v>
      </c>
      <c r="E140" s="37" t="e">
        <f>+Shepparton!#REF!</f>
        <v>#REF!</v>
      </c>
      <c r="F140" s="38" t="e">
        <f t="shared" si="61"/>
        <v>#REF!</v>
      </c>
      <c r="G140" s="37">
        <v>4030</v>
      </c>
      <c r="H140" s="20"/>
      <c r="I140" s="39">
        <f>+'Fast Key'!BC117</f>
        <v>0</v>
      </c>
      <c r="J140" s="21">
        <f t="shared" ref="J140:O153" si="62">+J139</f>
        <v>0</v>
      </c>
      <c r="K140" s="21">
        <f>+'Fast Key'!BD117</f>
        <v>0</v>
      </c>
      <c r="L140" s="21" t="e">
        <f t="shared" si="62"/>
        <v>#REF!</v>
      </c>
      <c r="M140" s="21">
        <f t="shared" si="62"/>
        <v>103</v>
      </c>
      <c r="N140" s="21">
        <f t="shared" si="62"/>
        <v>60</v>
      </c>
      <c r="O140" s="21">
        <f t="shared" si="62"/>
        <v>65</v>
      </c>
    </row>
    <row r="141" spans="1:15" s="21" customFormat="1" ht="15.75" customHeight="1">
      <c r="A141" s="67" t="s">
        <v>91</v>
      </c>
      <c r="B141" s="35">
        <f t="shared" si="59"/>
        <v>0</v>
      </c>
      <c r="C141" s="43" t="e">
        <f t="shared" si="60"/>
        <v>#REF!</v>
      </c>
      <c r="D141" s="37" t="e">
        <f>+Shepparton!#REF!</f>
        <v>#REF!</v>
      </c>
      <c r="E141" s="37" t="e">
        <f>+Shepparton!#REF!</f>
        <v>#REF!</v>
      </c>
      <c r="F141" s="38" t="e">
        <f t="shared" si="61"/>
        <v>#REF!</v>
      </c>
      <c r="G141" s="37">
        <v>3250</v>
      </c>
      <c r="H141" s="20"/>
      <c r="I141" s="39">
        <f>+'Fast Key'!BC118</f>
        <v>0</v>
      </c>
      <c r="J141" s="21">
        <f t="shared" si="62"/>
        <v>0</v>
      </c>
      <c r="K141" s="21">
        <f>+'Fast Key'!BD118</f>
        <v>0</v>
      </c>
      <c r="L141" s="21" t="e">
        <f t="shared" si="62"/>
        <v>#REF!</v>
      </c>
      <c r="M141" s="21">
        <f t="shared" si="62"/>
        <v>103</v>
      </c>
      <c r="N141" s="21">
        <f t="shared" si="62"/>
        <v>60</v>
      </c>
      <c r="O141" s="21">
        <f t="shared" si="62"/>
        <v>65</v>
      </c>
    </row>
    <row r="142" spans="1:15" s="21" customFormat="1" ht="15.75" customHeight="1">
      <c r="A142" s="67" t="s">
        <v>92</v>
      </c>
      <c r="B142" s="35">
        <f t="shared" si="59"/>
        <v>0</v>
      </c>
      <c r="C142" s="43" t="e">
        <f t="shared" si="60"/>
        <v>#REF!</v>
      </c>
      <c r="D142" s="37" t="e">
        <f>+Shepparton!#REF!</f>
        <v>#REF!</v>
      </c>
      <c r="E142" s="37" t="e">
        <f>+Shepparton!#REF!</f>
        <v>#REF!</v>
      </c>
      <c r="F142" s="38" t="e">
        <f t="shared" si="61"/>
        <v>#REF!</v>
      </c>
      <c r="G142" s="37">
        <v>3770</v>
      </c>
      <c r="H142" s="20"/>
      <c r="I142" s="39">
        <f>+'Fast Key'!BC119</f>
        <v>0</v>
      </c>
      <c r="J142" s="21">
        <f t="shared" si="62"/>
        <v>0</v>
      </c>
      <c r="K142" s="21">
        <f>+'Fast Key'!BD119</f>
        <v>0</v>
      </c>
      <c r="L142" s="21" t="e">
        <f t="shared" si="62"/>
        <v>#REF!</v>
      </c>
      <c r="M142" s="21">
        <f t="shared" si="62"/>
        <v>103</v>
      </c>
      <c r="N142" s="21">
        <f t="shared" si="62"/>
        <v>60</v>
      </c>
      <c r="O142" s="21">
        <f t="shared" si="62"/>
        <v>65</v>
      </c>
    </row>
    <row r="143" spans="1:15" s="21" customFormat="1" ht="15.75" customHeight="1">
      <c r="A143" s="67" t="s">
        <v>93</v>
      </c>
      <c r="B143" s="35">
        <f t="shared" si="59"/>
        <v>0</v>
      </c>
      <c r="C143" s="43" t="e">
        <f t="shared" si="60"/>
        <v>#REF!</v>
      </c>
      <c r="D143" s="37" t="e">
        <f>+Shepparton!#REF!</f>
        <v>#REF!</v>
      </c>
      <c r="E143" s="37" t="e">
        <f>+Shepparton!#REF!</f>
        <v>#REF!</v>
      </c>
      <c r="F143" s="38" t="e">
        <f t="shared" si="61"/>
        <v>#REF!</v>
      </c>
      <c r="G143" s="37">
        <v>3965</v>
      </c>
      <c r="H143" s="20"/>
      <c r="I143" s="39">
        <f>+'Fast Key'!BC120</f>
        <v>0</v>
      </c>
      <c r="J143" s="21">
        <f t="shared" si="62"/>
        <v>0</v>
      </c>
      <c r="K143" s="21">
        <f>+'Fast Key'!BD120</f>
        <v>0</v>
      </c>
      <c r="L143" s="21" t="e">
        <f t="shared" si="62"/>
        <v>#REF!</v>
      </c>
      <c r="M143" s="21">
        <f t="shared" si="62"/>
        <v>103</v>
      </c>
      <c r="N143" s="21">
        <f t="shared" si="62"/>
        <v>60</v>
      </c>
      <c r="O143" s="21">
        <f t="shared" si="62"/>
        <v>65</v>
      </c>
    </row>
    <row r="144" spans="1:15" s="21" customFormat="1" ht="15.75" customHeight="1">
      <c r="A144" s="67" t="s">
        <v>94</v>
      </c>
      <c r="B144" s="35">
        <f t="shared" si="59"/>
        <v>0</v>
      </c>
      <c r="C144" s="43" t="e">
        <f t="shared" si="60"/>
        <v>#REF!</v>
      </c>
      <c r="D144" s="37" t="e">
        <f>+Shepparton!#REF!</f>
        <v>#REF!</v>
      </c>
      <c r="E144" s="37" t="e">
        <f>+Shepparton!#REF!</f>
        <v>#REF!</v>
      </c>
      <c r="F144" s="38" t="e">
        <f t="shared" si="61"/>
        <v>#REF!</v>
      </c>
      <c r="G144" s="37">
        <v>3120</v>
      </c>
      <c r="H144" s="20"/>
      <c r="I144" s="39">
        <f>+'Fast Key'!BC121</f>
        <v>0</v>
      </c>
      <c r="J144" s="21">
        <f t="shared" si="62"/>
        <v>0</v>
      </c>
      <c r="K144" s="21">
        <f>+'Fast Key'!BD121</f>
        <v>0</v>
      </c>
      <c r="L144" s="21" t="e">
        <f t="shared" si="62"/>
        <v>#REF!</v>
      </c>
      <c r="M144" s="21">
        <f t="shared" si="62"/>
        <v>103</v>
      </c>
      <c r="N144" s="21">
        <f t="shared" si="62"/>
        <v>60</v>
      </c>
      <c r="O144" s="21">
        <f t="shared" si="62"/>
        <v>65</v>
      </c>
    </row>
    <row r="145" spans="1:15" s="21" customFormat="1" ht="15.75" customHeight="1">
      <c r="A145" s="67" t="s">
        <v>95</v>
      </c>
      <c r="B145" s="35">
        <f t="shared" si="59"/>
        <v>0</v>
      </c>
      <c r="C145" s="43" t="e">
        <f t="shared" si="60"/>
        <v>#REF!</v>
      </c>
      <c r="D145" s="37" t="e">
        <f>+Shepparton!#REF!</f>
        <v>#REF!</v>
      </c>
      <c r="E145" s="37" t="e">
        <f>+Shepparton!#REF!</f>
        <v>#REF!</v>
      </c>
      <c r="F145" s="38" t="e">
        <f t="shared" si="61"/>
        <v>#REF!</v>
      </c>
      <c r="G145" s="37">
        <v>3445</v>
      </c>
      <c r="H145" s="20"/>
      <c r="I145" s="39">
        <f>+'Fast Key'!BC122</f>
        <v>0</v>
      </c>
      <c r="J145" s="21">
        <f t="shared" si="62"/>
        <v>0</v>
      </c>
      <c r="K145" s="21">
        <f>+'Fast Key'!BD122</f>
        <v>0</v>
      </c>
      <c r="L145" s="21" t="e">
        <f t="shared" si="62"/>
        <v>#REF!</v>
      </c>
      <c r="M145" s="21">
        <f t="shared" si="62"/>
        <v>103</v>
      </c>
      <c r="N145" s="21">
        <f t="shared" si="62"/>
        <v>60</v>
      </c>
      <c r="O145" s="21">
        <f t="shared" si="62"/>
        <v>65</v>
      </c>
    </row>
    <row r="146" spans="1:15" s="21" customFormat="1" ht="15.75" customHeight="1">
      <c r="A146" s="67" t="s">
        <v>96</v>
      </c>
      <c r="B146" s="35">
        <f t="shared" si="59"/>
        <v>0</v>
      </c>
      <c r="C146" s="43" t="e">
        <f t="shared" si="60"/>
        <v>#REF!</v>
      </c>
      <c r="D146" s="37" t="e">
        <f>+Shepparton!#REF!</f>
        <v>#REF!</v>
      </c>
      <c r="E146" s="37" t="e">
        <f>+Shepparton!#REF!</f>
        <v>#REF!</v>
      </c>
      <c r="F146" s="38" t="e">
        <f t="shared" si="61"/>
        <v>#REF!</v>
      </c>
      <c r="G146" s="37">
        <v>3705</v>
      </c>
      <c r="H146" s="20"/>
      <c r="I146" s="39">
        <f>+'Fast Key'!BC123</f>
        <v>0</v>
      </c>
      <c r="J146" s="21">
        <f t="shared" si="62"/>
        <v>0</v>
      </c>
      <c r="K146" s="21">
        <f>+'Fast Key'!BD123</f>
        <v>0</v>
      </c>
      <c r="L146" s="21" t="e">
        <f t="shared" si="62"/>
        <v>#REF!</v>
      </c>
      <c r="M146" s="21">
        <f t="shared" si="62"/>
        <v>103</v>
      </c>
      <c r="N146" s="21">
        <f t="shared" si="62"/>
        <v>60</v>
      </c>
      <c r="O146" s="21">
        <f t="shared" si="62"/>
        <v>65</v>
      </c>
    </row>
    <row r="147" spans="1:15" s="21" customFormat="1" ht="15.75" customHeight="1">
      <c r="A147" s="67" t="s">
        <v>97</v>
      </c>
      <c r="B147" s="35">
        <f t="shared" si="59"/>
        <v>0</v>
      </c>
      <c r="C147" s="43" t="e">
        <f t="shared" si="60"/>
        <v>#REF!</v>
      </c>
      <c r="D147" s="37" t="e">
        <f>+Shepparton!#REF!</f>
        <v>#REF!</v>
      </c>
      <c r="E147" s="37" t="e">
        <f>+Shepparton!#REF!</f>
        <v>#REF!</v>
      </c>
      <c r="F147" s="38" t="e">
        <f t="shared" si="61"/>
        <v>#REF!</v>
      </c>
      <c r="G147" s="37">
        <v>4225</v>
      </c>
      <c r="H147" s="20"/>
      <c r="I147" s="39">
        <f>+'Fast Key'!BC124</f>
        <v>0</v>
      </c>
      <c r="J147" s="21">
        <f t="shared" si="62"/>
        <v>0</v>
      </c>
      <c r="K147" s="21">
        <f>+'Fast Key'!BD124</f>
        <v>0</v>
      </c>
      <c r="L147" s="21" t="e">
        <f t="shared" si="62"/>
        <v>#REF!</v>
      </c>
      <c r="M147" s="21">
        <f t="shared" si="62"/>
        <v>103</v>
      </c>
      <c r="N147" s="21">
        <f t="shared" si="62"/>
        <v>60</v>
      </c>
      <c r="O147" s="21">
        <f t="shared" si="62"/>
        <v>65</v>
      </c>
    </row>
    <row r="148" spans="1:15" s="21" customFormat="1" ht="15.75" customHeight="1">
      <c r="A148" s="67" t="s">
        <v>98</v>
      </c>
      <c r="B148" s="35">
        <f t="shared" si="59"/>
        <v>0</v>
      </c>
      <c r="C148" s="43" t="e">
        <f t="shared" si="60"/>
        <v>#REF!</v>
      </c>
      <c r="D148" s="37" t="e">
        <f>+Shepparton!#REF!</f>
        <v>#REF!</v>
      </c>
      <c r="E148" s="37" t="e">
        <f>+Shepparton!#REF!</f>
        <v>#REF!</v>
      </c>
      <c r="F148" s="38" t="e">
        <f t="shared" si="61"/>
        <v>#REF!</v>
      </c>
      <c r="G148" s="37">
        <v>4290</v>
      </c>
      <c r="H148" s="20"/>
      <c r="I148" s="39">
        <f>+'Fast Key'!BC125</f>
        <v>0</v>
      </c>
      <c r="J148" s="21">
        <f t="shared" si="62"/>
        <v>0</v>
      </c>
      <c r="K148" s="21">
        <f>+'Fast Key'!BD125</f>
        <v>0</v>
      </c>
      <c r="L148" s="21" t="e">
        <f t="shared" si="62"/>
        <v>#REF!</v>
      </c>
      <c r="M148" s="21">
        <f t="shared" si="62"/>
        <v>103</v>
      </c>
      <c r="N148" s="21">
        <f t="shared" si="62"/>
        <v>60</v>
      </c>
      <c r="O148" s="21">
        <f t="shared" si="62"/>
        <v>65</v>
      </c>
    </row>
    <row r="149" spans="1:15" s="21" customFormat="1" ht="15.75" customHeight="1">
      <c r="A149" s="67" t="s">
        <v>99</v>
      </c>
      <c r="B149" s="35">
        <f t="shared" si="59"/>
        <v>0</v>
      </c>
      <c r="C149" s="43" t="e">
        <f t="shared" si="60"/>
        <v>#REF!</v>
      </c>
      <c r="D149" s="37" t="e">
        <f>+Shepparton!#REF!</f>
        <v>#REF!</v>
      </c>
      <c r="E149" s="37" t="e">
        <f>+Shepparton!#REF!</f>
        <v>#REF!</v>
      </c>
      <c r="F149" s="38" t="e">
        <f t="shared" si="61"/>
        <v>#REF!</v>
      </c>
      <c r="G149" s="37">
        <v>4485</v>
      </c>
      <c r="H149" s="20"/>
      <c r="I149" s="39">
        <f>+'Fast Key'!BC126</f>
        <v>0</v>
      </c>
      <c r="J149" s="21">
        <f t="shared" si="62"/>
        <v>0</v>
      </c>
      <c r="K149" s="21">
        <f>+'Fast Key'!BD126</f>
        <v>0</v>
      </c>
      <c r="L149" s="21" t="e">
        <f t="shared" si="62"/>
        <v>#REF!</v>
      </c>
      <c r="M149" s="21">
        <f t="shared" si="62"/>
        <v>103</v>
      </c>
      <c r="N149" s="21">
        <f t="shared" si="62"/>
        <v>60</v>
      </c>
      <c r="O149" s="21">
        <f t="shared" si="62"/>
        <v>65</v>
      </c>
    </row>
    <row r="150" spans="1:15" s="21" customFormat="1" ht="15.75" customHeight="1">
      <c r="A150" s="67" t="s">
        <v>50</v>
      </c>
      <c r="B150" s="35">
        <f t="shared" si="59"/>
        <v>0</v>
      </c>
      <c r="C150" s="43" t="e">
        <f t="shared" si="60"/>
        <v>#REF!</v>
      </c>
      <c r="D150" s="37" t="e">
        <f>+Shepparton!#REF!</f>
        <v>#REF!</v>
      </c>
      <c r="E150" s="37" t="e">
        <f>+Shepparton!#REF!</f>
        <v>#REF!</v>
      </c>
      <c r="F150" s="38" t="e">
        <f t="shared" si="61"/>
        <v>#REF!</v>
      </c>
      <c r="G150" s="37">
        <v>3770</v>
      </c>
      <c r="H150" s="20"/>
      <c r="I150" s="39">
        <f>+'Fast Key'!BC127</f>
        <v>0</v>
      </c>
      <c r="J150" s="21">
        <f t="shared" si="62"/>
        <v>0</v>
      </c>
      <c r="K150" s="21">
        <f>+'Fast Key'!BD127</f>
        <v>0</v>
      </c>
      <c r="L150" s="21" t="e">
        <f t="shared" si="62"/>
        <v>#REF!</v>
      </c>
      <c r="M150" s="21">
        <f t="shared" si="62"/>
        <v>103</v>
      </c>
      <c r="N150" s="21">
        <f t="shared" si="62"/>
        <v>60</v>
      </c>
      <c r="O150" s="21">
        <f t="shared" si="62"/>
        <v>65</v>
      </c>
    </row>
    <row r="151" spans="1:15" s="21" customFormat="1" ht="15.75" customHeight="1">
      <c r="A151" s="67" t="s">
        <v>100</v>
      </c>
      <c r="B151" s="35">
        <f t="shared" si="59"/>
        <v>0</v>
      </c>
      <c r="C151" s="43" t="e">
        <f t="shared" si="60"/>
        <v>#REF!</v>
      </c>
      <c r="D151" s="37" t="e">
        <f>+Shepparton!#REF!</f>
        <v>#REF!</v>
      </c>
      <c r="E151" s="37" t="e">
        <f>+Shepparton!#REF!</f>
        <v>#REF!</v>
      </c>
      <c r="F151" s="38" t="e">
        <f t="shared" si="61"/>
        <v>#REF!</v>
      </c>
      <c r="G151" s="37">
        <v>3575</v>
      </c>
      <c r="H151" s="20"/>
      <c r="I151" s="39">
        <f>+'Fast Key'!BC128</f>
        <v>0</v>
      </c>
      <c r="J151" s="21">
        <f t="shared" si="62"/>
        <v>0</v>
      </c>
      <c r="K151" s="21">
        <f>+'Fast Key'!BD128</f>
        <v>0</v>
      </c>
      <c r="L151" s="21" t="e">
        <f t="shared" si="62"/>
        <v>#REF!</v>
      </c>
      <c r="M151" s="21">
        <f t="shared" si="62"/>
        <v>103</v>
      </c>
      <c r="N151" s="21">
        <f t="shared" si="62"/>
        <v>60</v>
      </c>
      <c r="O151" s="21">
        <f t="shared" si="62"/>
        <v>65</v>
      </c>
    </row>
    <row r="152" spans="1:15" s="21" customFormat="1" ht="15.75" customHeight="1">
      <c r="A152" s="67" t="s">
        <v>101</v>
      </c>
      <c r="B152" s="35">
        <f t="shared" si="59"/>
        <v>0</v>
      </c>
      <c r="C152" s="43" t="e">
        <f t="shared" si="60"/>
        <v>#REF!</v>
      </c>
      <c r="D152" s="37" t="e">
        <f>+Shepparton!#REF!</f>
        <v>#REF!</v>
      </c>
      <c r="E152" s="37" t="e">
        <f>+Shepparton!#REF!</f>
        <v>#REF!</v>
      </c>
      <c r="F152" s="38" t="e">
        <f t="shared" si="61"/>
        <v>#REF!</v>
      </c>
      <c r="G152" s="37">
        <v>3315</v>
      </c>
      <c r="H152" s="20"/>
      <c r="I152" s="39">
        <f>+'Fast Key'!BC129</f>
        <v>0</v>
      </c>
      <c r="J152" s="21">
        <f t="shared" si="62"/>
        <v>0</v>
      </c>
      <c r="K152" s="21">
        <f>+'Fast Key'!BD129</f>
        <v>0</v>
      </c>
      <c r="L152" s="21" t="e">
        <f t="shared" si="62"/>
        <v>#REF!</v>
      </c>
      <c r="M152" s="21">
        <f t="shared" si="62"/>
        <v>103</v>
      </c>
      <c r="N152" s="21">
        <f t="shared" si="62"/>
        <v>60</v>
      </c>
      <c r="O152" s="21">
        <f t="shared" si="62"/>
        <v>65</v>
      </c>
    </row>
    <row r="153" spans="1:15" s="21" customFormat="1" ht="15.75" customHeight="1">
      <c r="A153" s="67" t="s">
        <v>102</v>
      </c>
      <c r="B153" s="35">
        <f t="shared" si="59"/>
        <v>0</v>
      </c>
      <c r="C153" s="43" t="e">
        <f t="shared" si="60"/>
        <v>#REF!</v>
      </c>
      <c r="D153" s="37" t="e">
        <f>+Shepparton!#REF!</f>
        <v>#REF!</v>
      </c>
      <c r="E153" s="37" t="e">
        <f>+Shepparton!#REF!</f>
        <v>#REF!</v>
      </c>
      <c r="F153" s="38" t="e">
        <f t="shared" si="61"/>
        <v>#REF!</v>
      </c>
      <c r="G153" s="37">
        <v>3510</v>
      </c>
      <c r="H153" s="20"/>
      <c r="I153" s="39">
        <f>+'Fast Key'!BC130</f>
        <v>0</v>
      </c>
      <c r="J153" s="21">
        <f t="shared" si="62"/>
        <v>0</v>
      </c>
      <c r="K153" s="21">
        <f>+'Fast Key'!BD130</f>
        <v>0</v>
      </c>
      <c r="L153" s="21" t="e">
        <f t="shared" si="62"/>
        <v>#REF!</v>
      </c>
      <c r="M153" s="21">
        <f t="shared" si="62"/>
        <v>103</v>
      </c>
      <c r="N153" s="21">
        <f t="shared" si="62"/>
        <v>60</v>
      </c>
      <c r="O153" s="21">
        <f t="shared" si="62"/>
        <v>65</v>
      </c>
    </row>
    <row r="154" spans="1:15" s="21" customFormat="1" ht="13.5" customHeight="1">
      <c r="C154" s="44"/>
      <c r="D154" s="44"/>
      <c r="E154" s="68"/>
      <c r="G154" s="45"/>
      <c r="H154" s="20"/>
      <c r="L154" s="39"/>
    </row>
    <row r="155" spans="1:15" s="21" customFormat="1" ht="13.5" customHeight="1" thickBot="1">
      <c r="A155" s="23" t="s">
        <v>1083</v>
      </c>
      <c r="B155" s="23"/>
      <c r="C155" s="23"/>
      <c r="D155" s="23"/>
      <c r="E155" s="23"/>
      <c r="F155" s="24"/>
      <c r="G155" s="25"/>
      <c r="H155" s="20"/>
      <c r="L155" s="39"/>
    </row>
    <row r="156" spans="1:15" s="21" customFormat="1" ht="91.5" customHeight="1" thickBot="1">
      <c r="A156" s="26" t="s">
        <v>153</v>
      </c>
      <c r="B156" s="27" t="s">
        <v>154</v>
      </c>
      <c r="C156" s="28" t="s">
        <v>155</v>
      </c>
      <c r="D156" s="28" t="s">
        <v>156</v>
      </c>
      <c r="E156" s="28" t="s">
        <v>157</v>
      </c>
      <c r="F156" s="29" t="s">
        <v>158</v>
      </c>
      <c r="G156" s="28" t="s">
        <v>159</v>
      </c>
      <c r="H156" s="20"/>
      <c r="L156" s="39"/>
    </row>
    <row r="157" spans="1:15" s="21" customFormat="1" ht="15.75" customHeight="1">
      <c r="A157" s="66" t="s">
        <v>103</v>
      </c>
      <c r="B157" s="35">
        <f t="shared" ref="B157:B164" si="63">+CEILING(I157+J157+K157,10)</f>
        <v>0</v>
      </c>
      <c r="C157" s="36" t="e">
        <f>+L157</f>
        <v>#REF!</v>
      </c>
      <c r="D157" s="37" t="e">
        <f>+Shepparton!#REF!</f>
        <v>#REF!</v>
      </c>
      <c r="E157" s="37" t="e">
        <f>+Shepparton!#REF!</f>
        <v>#REF!</v>
      </c>
      <c r="F157" s="38" t="e">
        <f>SUM(B157:E157)</f>
        <v>#REF!</v>
      </c>
      <c r="G157" s="37" t="e">
        <f>+Shepparton!#REF!</f>
        <v>#REF!</v>
      </c>
      <c r="H157" s="20"/>
      <c r="I157" s="39">
        <f>+'Fast Key'!BC134</f>
        <v>0</v>
      </c>
      <c r="J157" s="21">
        <f>+J153</f>
        <v>0</v>
      </c>
      <c r="K157" s="21">
        <f>+'Fast Key'!BD134</f>
        <v>0</v>
      </c>
      <c r="L157" s="21" t="e">
        <f>+L153</f>
        <v>#REF!</v>
      </c>
      <c r="M157" s="21">
        <f>+M153</f>
        <v>103</v>
      </c>
      <c r="N157" s="21">
        <f>+N153</f>
        <v>60</v>
      </c>
      <c r="O157" s="21">
        <f>+O153</f>
        <v>65</v>
      </c>
    </row>
    <row r="158" spans="1:15" s="21" customFormat="1" ht="15.75" customHeight="1">
      <c r="A158" s="67" t="s">
        <v>104</v>
      </c>
      <c r="B158" s="35">
        <f t="shared" si="63"/>
        <v>0</v>
      </c>
      <c r="C158" s="43" t="e">
        <f t="shared" ref="C158:C164" si="64">+L158</f>
        <v>#REF!</v>
      </c>
      <c r="D158" s="37" t="e">
        <f>+Shepparton!#REF!</f>
        <v>#REF!</v>
      </c>
      <c r="E158" s="37" t="e">
        <f>+Shepparton!#REF!</f>
        <v>#REF!</v>
      </c>
      <c r="F158" s="38" t="e">
        <f t="shared" ref="F158:F164" si="65">SUM(B158:E158)</f>
        <v>#REF!</v>
      </c>
      <c r="G158" s="37" t="e">
        <f>+Shepparton!#REF!</f>
        <v>#REF!</v>
      </c>
      <c r="H158" s="20"/>
      <c r="I158" s="39">
        <f>+'Fast Key'!BC135</f>
        <v>0</v>
      </c>
      <c r="J158" s="21">
        <f>+J157</f>
        <v>0</v>
      </c>
      <c r="K158" s="21">
        <f>+'Fast Key'!BD135</f>
        <v>0</v>
      </c>
      <c r="L158" s="21" t="e">
        <f>+L157</f>
        <v>#REF!</v>
      </c>
      <c r="M158" s="21">
        <f>+M157</f>
        <v>103</v>
      </c>
      <c r="N158" s="21">
        <f>+N157</f>
        <v>60</v>
      </c>
      <c r="O158" s="21">
        <f>+O157</f>
        <v>65</v>
      </c>
    </row>
    <row r="159" spans="1:15" s="21" customFormat="1" ht="15.75" customHeight="1">
      <c r="A159" s="67" t="s">
        <v>105</v>
      </c>
      <c r="B159" s="35">
        <f t="shared" si="63"/>
        <v>0</v>
      </c>
      <c r="C159" s="43" t="e">
        <f t="shared" si="64"/>
        <v>#REF!</v>
      </c>
      <c r="D159" s="37" t="e">
        <f>+Shepparton!#REF!</f>
        <v>#REF!</v>
      </c>
      <c r="E159" s="37" t="e">
        <f>+Shepparton!#REF!</f>
        <v>#REF!</v>
      </c>
      <c r="F159" s="38" t="e">
        <f t="shared" si="65"/>
        <v>#REF!</v>
      </c>
      <c r="G159" s="37" t="e">
        <f>+Shepparton!#REF!</f>
        <v>#REF!</v>
      </c>
      <c r="H159" s="20"/>
      <c r="I159" s="39">
        <f>+'Fast Key'!BC136</f>
        <v>0</v>
      </c>
      <c r="J159" s="21">
        <f t="shared" ref="J159:O164" si="66">+J158</f>
        <v>0</v>
      </c>
      <c r="K159" s="21">
        <f>+'Fast Key'!BD136</f>
        <v>0</v>
      </c>
      <c r="L159" s="21" t="e">
        <f t="shared" si="66"/>
        <v>#REF!</v>
      </c>
      <c r="M159" s="21">
        <f t="shared" si="66"/>
        <v>103</v>
      </c>
      <c r="N159" s="21">
        <f t="shared" si="66"/>
        <v>60</v>
      </c>
      <c r="O159" s="21">
        <f t="shared" si="66"/>
        <v>65</v>
      </c>
    </row>
    <row r="160" spans="1:15" s="21" customFormat="1" ht="15.75" customHeight="1">
      <c r="A160" s="67" t="s">
        <v>106</v>
      </c>
      <c r="B160" s="35">
        <f t="shared" si="63"/>
        <v>0</v>
      </c>
      <c r="C160" s="43" t="e">
        <f t="shared" si="64"/>
        <v>#REF!</v>
      </c>
      <c r="D160" s="37" t="e">
        <f>+Shepparton!#REF!</f>
        <v>#REF!</v>
      </c>
      <c r="E160" s="37" t="e">
        <f>+Shepparton!#REF!</f>
        <v>#REF!</v>
      </c>
      <c r="F160" s="38" t="e">
        <f t="shared" si="65"/>
        <v>#REF!</v>
      </c>
      <c r="G160" s="37" t="e">
        <f>+Shepparton!#REF!</f>
        <v>#REF!</v>
      </c>
      <c r="H160" s="20"/>
      <c r="I160" s="39">
        <f>+'Fast Key'!BC137</f>
        <v>0</v>
      </c>
      <c r="J160" s="21">
        <f t="shared" si="66"/>
        <v>0</v>
      </c>
      <c r="K160" s="21">
        <f>+'Fast Key'!BD137</f>
        <v>0</v>
      </c>
      <c r="L160" s="21" t="e">
        <f t="shared" si="66"/>
        <v>#REF!</v>
      </c>
      <c r="M160" s="21">
        <f t="shared" si="66"/>
        <v>103</v>
      </c>
      <c r="N160" s="21">
        <f t="shared" si="66"/>
        <v>60</v>
      </c>
      <c r="O160" s="21">
        <f t="shared" si="66"/>
        <v>65</v>
      </c>
    </row>
    <row r="161" spans="1:15" s="21" customFormat="1" ht="15.75" customHeight="1">
      <c r="A161" s="67" t="s">
        <v>1054</v>
      </c>
      <c r="B161" s="35">
        <f t="shared" si="63"/>
        <v>0</v>
      </c>
      <c r="C161" s="43" t="e">
        <f t="shared" si="64"/>
        <v>#REF!</v>
      </c>
      <c r="D161" s="37" t="e">
        <f>+Shepparton!#REF!</f>
        <v>#REF!</v>
      </c>
      <c r="E161" s="37" t="e">
        <f>+Shepparton!#REF!</f>
        <v>#REF!</v>
      </c>
      <c r="F161" s="38" t="e">
        <f t="shared" si="65"/>
        <v>#REF!</v>
      </c>
      <c r="G161" s="37" t="e">
        <f>+Shepparton!#REF!</f>
        <v>#REF!</v>
      </c>
      <c r="H161" s="20"/>
      <c r="I161" s="39">
        <f>+'Fast Key'!BC138</f>
        <v>0</v>
      </c>
      <c r="J161" s="21">
        <f t="shared" si="66"/>
        <v>0</v>
      </c>
      <c r="K161" s="21">
        <f>+'Fast Key'!BD138</f>
        <v>0</v>
      </c>
      <c r="L161" s="21" t="e">
        <f t="shared" si="66"/>
        <v>#REF!</v>
      </c>
      <c r="M161" s="21">
        <f t="shared" si="66"/>
        <v>103</v>
      </c>
      <c r="N161" s="21">
        <f t="shared" si="66"/>
        <v>60</v>
      </c>
      <c r="O161" s="21">
        <f t="shared" si="66"/>
        <v>65</v>
      </c>
    </row>
    <row r="162" spans="1:15" s="21" customFormat="1" ht="15.75" customHeight="1">
      <c r="A162" s="67" t="s">
        <v>1055</v>
      </c>
      <c r="B162" s="35">
        <f t="shared" si="63"/>
        <v>0</v>
      </c>
      <c r="C162" s="43" t="e">
        <f t="shared" si="64"/>
        <v>#REF!</v>
      </c>
      <c r="D162" s="37" t="e">
        <f>+Shepparton!#REF!</f>
        <v>#REF!</v>
      </c>
      <c r="E162" s="37" t="e">
        <f>+Shepparton!#REF!</f>
        <v>#REF!</v>
      </c>
      <c r="F162" s="38" t="e">
        <f t="shared" si="65"/>
        <v>#REF!</v>
      </c>
      <c r="G162" s="37" t="e">
        <f>+Shepparton!#REF!</f>
        <v>#REF!</v>
      </c>
      <c r="H162" s="20"/>
      <c r="I162" s="39">
        <f>+'Fast Key'!BC139</f>
        <v>0</v>
      </c>
      <c r="J162" s="21">
        <f t="shared" si="66"/>
        <v>0</v>
      </c>
      <c r="K162" s="21">
        <f>+'Fast Key'!BD139</f>
        <v>0</v>
      </c>
      <c r="L162" s="21" t="e">
        <f t="shared" si="66"/>
        <v>#REF!</v>
      </c>
      <c r="M162" s="21">
        <f t="shared" si="66"/>
        <v>103</v>
      </c>
      <c r="N162" s="21">
        <f t="shared" si="66"/>
        <v>60</v>
      </c>
      <c r="O162" s="21">
        <f t="shared" si="66"/>
        <v>65</v>
      </c>
    </row>
    <row r="163" spans="1:15" s="21" customFormat="1" ht="15.75" customHeight="1">
      <c r="A163" s="67" t="s">
        <v>1056</v>
      </c>
      <c r="B163" s="35">
        <f t="shared" si="63"/>
        <v>0</v>
      </c>
      <c r="C163" s="43" t="e">
        <f t="shared" si="64"/>
        <v>#REF!</v>
      </c>
      <c r="D163" s="37" t="e">
        <f>+Shepparton!#REF!</f>
        <v>#REF!</v>
      </c>
      <c r="E163" s="37" t="e">
        <f>+Shepparton!#REF!</f>
        <v>#REF!</v>
      </c>
      <c r="F163" s="38" t="e">
        <f t="shared" si="65"/>
        <v>#REF!</v>
      </c>
      <c r="G163" s="37" t="e">
        <f>+Shepparton!#REF!</f>
        <v>#REF!</v>
      </c>
      <c r="H163" s="20"/>
      <c r="I163" s="39">
        <f>+'Fast Key'!BC140</f>
        <v>0</v>
      </c>
      <c r="J163" s="21">
        <f t="shared" si="66"/>
        <v>0</v>
      </c>
      <c r="K163" s="21">
        <f>+'Fast Key'!BD140</f>
        <v>0</v>
      </c>
      <c r="L163" s="21" t="e">
        <f t="shared" si="66"/>
        <v>#REF!</v>
      </c>
      <c r="M163" s="21">
        <f t="shared" si="66"/>
        <v>103</v>
      </c>
      <c r="N163" s="21">
        <f t="shared" si="66"/>
        <v>60</v>
      </c>
      <c r="O163" s="21">
        <f t="shared" si="66"/>
        <v>65</v>
      </c>
    </row>
    <row r="164" spans="1:15" s="21" customFormat="1" ht="15.75" customHeight="1">
      <c r="A164" s="67" t="s">
        <v>1057</v>
      </c>
      <c r="B164" s="35">
        <f t="shared" si="63"/>
        <v>0</v>
      </c>
      <c r="C164" s="43" t="e">
        <f t="shared" si="64"/>
        <v>#REF!</v>
      </c>
      <c r="D164" s="37" t="e">
        <f>+Shepparton!#REF!</f>
        <v>#REF!</v>
      </c>
      <c r="E164" s="37" t="e">
        <f>+Shepparton!#REF!</f>
        <v>#REF!</v>
      </c>
      <c r="F164" s="38" t="e">
        <f t="shared" si="65"/>
        <v>#REF!</v>
      </c>
      <c r="G164" s="37" t="e">
        <f>+Shepparton!#REF!</f>
        <v>#REF!</v>
      </c>
      <c r="H164" s="20"/>
      <c r="I164" s="39">
        <f>+'Fast Key'!BC141</f>
        <v>0</v>
      </c>
      <c r="J164" s="21">
        <f t="shared" si="66"/>
        <v>0</v>
      </c>
      <c r="K164" s="21">
        <f>+'Fast Key'!BD141</f>
        <v>0</v>
      </c>
      <c r="L164" s="21" t="e">
        <f t="shared" si="66"/>
        <v>#REF!</v>
      </c>
      <c r="M164" s="21">
        <f t="shared" si="66"/>
        <v>103</v>
      </c>
      <c r="N164" s="21">
        <f t="shared" si="66"/>
        <v>60</v>
      </c>
      <c r="O164" s="21">
        <f t="shared" si="66"/>
        <v>65</v>
      </c>
    </row>
    <row r="165" spans="1:15" s="21" customFormat="1" ht="13.5" customHeight="1" thickBot="1">
      <c r="C165" s="44"/>
      <c r="D165" s="44"/>
      <c r="E165" s="44"/>
      <c r="F165" s="60"/>
      <c r="G165" s="45"/>
      <c r="H165" s="20"/>
      <c r="L165" s="39"/>
    </row>
    <row r="166" spans="1:15" s="21" customFormat="1" ht="13.5" customHeight="1">
      <c r="A166" s="46" t="s">
        <v>165</v>
      </c>
      <c r="B166" s="47"/>
      <c r="C166" s="44"/>
      <c r="D166" s="44"/>
      <c r="E166" s="48" t="s">
        <v>166</v>
      </c>
      <c r="F166" s="49"/>
      <c r="G166" s="50"/>
      <c r="H166" s="20"/>
      <c r="L166" s="39"/>
    </row>
    <row r="167" spans="1:15" s="21" customFormat="1" ht="13.5" customHeight="1">
      <c r="A167" s="51" t="s">
        <v>167</v>
      </c>
      <c r="B167" s="52"/>
      <c r="C167" s="44"/>
      <c r="D167" s="44"/>
      <c r="E167" s="53" t="s">
        <v>168</v>
      </c>
      <c r="G167" s="22"/>
      <c r="H167" s="20"/>
      <c r="L167" s="39"/>
    </row>
    <row r="168" spans="1:15" s="21" customFormat="1" ht="13.5" customHeight="1">
      <c r="A168" s="51" t="s">
        <v>169</v>
      </c>
      <c r="B168" s="52"/>
      <c r="C168" s="44"/>
      <c r="D168" s="44"/>
      <c r="E168" s="53" t="s">
        <v>170</v>
      </c>
      <c r="G168" s="22"/>
      <c r="H168" s="20"/>
      <c r="L168" s="39"/>
    </row>
    <row r="169" spans="1:15" s="21" customFormat="1" ht="13.5" customHeight="1">
      <c r="A169" s="51" t="s">
        <v>171</v>
      </c>
      <c r="B169" s="52"/>
      <c r="C169" s="44"/>
      <c r="D169" s="44"/>
      <c r="E169" s="53" t="s">
        <v>172</v>
      </c>
      <c r="G169" s="22"/>
      <c r="H169" s="20"/>
      <c r="L169" s="39"/>
    </row>
    <row r="170" spans="1:15" s="21" customFormat="1" ht="13.5" customHeight="1">
      <c r="A170" s="51" t="s">
        <v>173</v>
      </c>
      <c r="B170" s="52"/>
      <c r="C170" s="44"/>
      <c r="D170" s="44"/>
      <c r="E170" s="53" t="s">
        <v>174</v>
      </c>
      <c r="G170" s="22"/>
      <c r="H170" s="20"/>
      <c r="L170" s="39"/>
    </row>
    <row r="171" spans="1:15" s="21" customFormat="1" ht="13.5" customHeight="1">
      <c r="A171" s="51"/>
      <c r="B171" s="52"/>
      <c r="C171" s="44"/>
      <c r="D171" s="44"/>
      <c r="E171" s="53" t="s">
        <v>175</v>
      </c>
      <c r="G171" s="22"/>
      <c r="H171" s="20"/>
      <c r="L171" s="39"/>
    </row>
    <row r="172" spans="1:15" s="21" customFormat="1" ht="13.5" customHeight="1" thickBot="1">
      <c r="A172" s="54"/>
      <c r="B172" s="55"/>
      <c r="C172" s="44"/>
      <c r="D172" s="44"/>
      <c r="E172" s="56" t="s">
        <v>176</v>
      </c>
      <c r="F172" s="57"/>
      <c r="G172" s="58"/>
      <c r="H172" s="20"/>
      <c r="L172" s="39"/>
    </row>
    <row r="173" spans="1:15" ht="13.5" customHeight="1">
      <c r="E173" s="63"/>
    </row>
    <row r="174" spans="1:15" ht="13.5" customHeight="1">
      <c r="E174" s="63"/>
    </row>
    <row r="175" spans="1:15" ht="13.5" customHeight="1">
      <c r="E175" s="63"/>
    </row>
    <row r="176" spans="1:15" ht="13.5" customHeight="1">
      <c r="E176" s="63"/>
    </row>
    <row r="177" spans="5:5" ht="13.5" customHeight="1">
      <c r="E177" s="63"/>
    </row>
    <row r="178" spans="5:5" ht="13.5" customHeight="1">
      <c r="E178" s="63"/>
    </row>
    <row r="179" spans="5:5" ht="13.5" customHeight="1">
      <c r="E179" s="63"/>
    </row>
    <row r="180" spans="5:5" ht="13.5" customHeight="1">
      <c r="E180" s="63"/>
    </row>
    <row r="181" spans="5:5" ht="13.5" customHeight="1">
      <c r="E181" s="63"/>
    </row>
    <row r="182" spans="5:5" ht="13.5" customHeight="1">
      <c r="E182" s="63"/>
    </row>
    <row r="183" spans="5:5" ht="13.5" customHeight="1">
      <c r="E183" s="63"/>
    </row>
    <row r="184" spans="5:5" ht="13.5" customHeight="1">
      <c r="E184" s="63"/>
    </row>
    <row r="185" spans="5:5" ht="13.5" customHeight="1">
      <c r="E185" s="63"/>
    </row>
    <row r="186" spans="5:5" ht="13.5" customHeight="1">
      <c r="E186" s="63"/>
    </row>
    <row r="187" spans="5:5" ht="13.5" customHeight="1">
      <c r="E187" s="63"/>
    </row>
    <row r="188" spans="5:5" ht="13.5" customHeight="1">
      <c r="E188" s="63"/>
    </row>
    <row r="189" spans="5:5" ht="13.5" customHeight="1">
      <c r="E189" s="63"/>
    </row>
    <row r="190" spans="5:5" ht="13.5" customHeight="1">
      <c r="E190" s="63"/>
    </row>
    <row r="191" spans="5:5" ht="13.5" customHeight="1">
      <c r="E191" s="63"/>
    </row>
    <row r="192" spans="5:5" ht="13.5" customHeight="1">
      <c r="E192" s="63"/>
    </row>
    <row r="193" spans="5:5" ht="13.5" customHeight="1">
      <c r="E193" s="63"/>
    </row>
    <row r="194" spans="5:5" ht="13.5" customHeight="1">
      <c r="E194" s="63"/>
    </row>
    <row r="195" spans="5:5" ht="13.5" customHeight="1">
      <c r="E195" s="63"/>
    </row>
    <row r="196" spans="5:5" ht="13.5" customHeight="1">
      <c r="E196" s="63"/>
    </row>
    <row r="197" spans="5:5" ht="13.5" customHeight="1">
      <c r="E197" s="63"/>
    </row>
    <row r="198" spans="5:5" ht="13.5" customHeight="1">
      <c r="E198" s="63"/>
    </row>
    <row r="199" spans="5:5" ht="13.5" customHeight="1">
      <c r="E199" s="63"/>
    </row>
    <row r="200" spans="5:5" ht="13.5" customHeight="1">
      <c r="E200" s="63"/>
    </row>
  </sheetData>
  <sheetProtection algorithmName="SHA-512" hashValue="PfbW/yj/uWPrPFtIquDPlrHKCrhZ8traxG/wK3LECWeLDFKeMh9KWoRJt7EwMVDX/ZaI7YahUdwYB8DgTvStyw==" saltValue="I1O58tbehE2ArPh0xMQgsA==" spinCount="100000" sheet="1" selectLockedCells="1" selectUnlockedCells="1"/>
  <mergeCells count="4">
    <mergeCell ref="A98:G98"/>
    <mergeCell ref="A135:G135"/>
    <mergeCell ref="A1:G1"/>
    <mergeCell ref="A49:G49"/>
  </mergeCells>
  <phoneticPr fontId="46" type="noConversion"/>
  <pageMargins left="0.70866141732283461" right="0.70866141732283461" top="0.59055118110236215" bottom="0" header="0.31496062992125984" footer="0.31496062992125984"/>
  <pageSetup paperSize="9" scale="91" fitToHeight="0" orientation="portrait" r:id="rId1"/>
  <headerFooter>
    <oddHeader>&amp;LCAVALIER HOMES GOULBURN VALLEY PTY. LTD.&amp;R&amp;G</oddHeader>
  </headerFooter>
  <rowBreaks count="3" manualBreakCount="3">
    <brk id="48" max="6" man="1"/>
    <brk id="97" max="6" man="1"/>
    <brk id="134" max="6"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F0BC-64CA-468A-8B90-09A03849B224}">
  <sheetPr codeName="Sheet14">
    <pageSetUpPr fitToPage="1"/>
  </sheetPr>
  <dimension ref="B2:E54"/>
  <sheetViews>
    <sheetView workbookViewId="0">
      <selection activeCell="G64" sqref="G64"/>
    </sheetView>
  </sheetViews>
  <sheetFormatPr defaultRowHeight="14.4"/>
  <cols>
    <col min="2" max="2" width="65.109375" bestFit="1" customWidth="1"/>
    <col min="3" max="3" width="9.109375" bestFit="1" customWidth="1"/>
  </cols>
  <sheetData>
    <row r="2" spans="2:5">
      <c r="B2" s="18" t="s">
        <v>1059</v>
      </c>
    </row>
    <row r="4" spans="2:5">
      <c r="B4" s="18" t="s">
        <v>424</v>
      </c>
      <c r="C4" s="261"/>
    </row>
    <row r="5" spans="2:5">
      <c r="B5" t="s">
        <v>998</v>
      </c>
      <c r="C5" s="261">
        <v>1340</v>
      </c>
    </row>
    <row r="6" spans="2:5">
      <c r="B6" t="s">
        <v>824</v>
      </c>
      <c r="C6" s="261">
        <v>175</v>
      </c>
    </row>
    <row r="7" spans="2:5">
      <c r="B7" s="262" t="s">
        <v>151</v>
      </c>
      <c r="C7" s="263">
        <f>SUM(C5:C6)</f>
        <v>1515</v>
      </c>
    </row>
    <row r="8" spans="2:5">
      <c r="C8" s="261"/>
    </row>
    <row r="9" spans="2:5">
      <c r="B9" s="18" t="s">
        <v>999</v>
      </c>
      <c r="C9" s="261"/>
    </row>
    <row r="10" spans="2:5">
      <c r="B10" t="s">
        <v>849</v>
      </c>
      <c r="C10" s="261">
        <v>660</v>
      </c>
    </row>
    <row r="11" spans="2:5">
      <c r="B11" t="s">
        <v>426</v>
      </c>
      <c r="C11" s="261">
        <v>250</v>
      </c>
    </row>
    <row r="12" spans="2:5">
      <c r="B12" t="s">
        <v>458</v>
      </c>
      <c r="C12" s="261">
        <v>960</v>
      </c>
      <c r="E12" t="s">
        <v>850</v>
      </c>
    </row>
    <row r="13" spans="2:5">
      <c r="B13" s="262" t="s">
        <v>151</v>
      </c>
      <c r="C13" s="263">
        <f>SUM(C10:C12)</f>
        <v>1870</v>
      </c>
    </row>
    <row r="14" spans="2:5">
      <c r="C14" s="261"/>
    </row>
    <row r="15" spans="2:5">
      <c r="B15" s="18" t="s">
        <v>1000</v>
      </c>
      <c r="C15" s="261"/>
    </row>
    <row r="16" spans="2:5">
      <c r="B16" t="s">
        <v>847</v>
      </c>
      <c r="C16" s="261">
        <v>1355</v>
      </c>
    </row>
    <row r="17" spans="2:5">
      <c r="B17" t="s">
        <v>848</v>
      </c>
      <c r="C17" s="261">
        <v>165</v>
      </c>
    </row>
    <row r="18" spans="2:5">
      <c r="B18" t="s">
        <v>425</v>
      </c>
      <c r="C18" s="261">
        <v>200</v>
      </c>
    </row>
    <row r="19" spans="2:5">
      <c r="B19" s="262" t="s">
        <v>151</v>
      </c>
      <c r="C19" s="263">
        <f>SUM(C16:C18)</f>
        <v>1720</v>
      </c>
    </row>
    <row r="20" spans="2:5">
      <c r="C20" s="261"/>
    </row>
    <row r="21" spans="2:5">
      <c r="B21" s="18" t="s">
        <v>851</v>
      </c>
      <c r="C21" s="261"/>
    </row>
    <row r="22" spans="2:5">
      <c r="B22" t="s">
        <v>852</v>
      </c>
      <c r="C22" s="261">
        <v>3625</v>
      </c>
      <c r="E22" t="s">
        <v>853</v>
      </c>
    </row>
    <row r="23" spans="2:5">
      <c r="B23" t="s">
        <v>854</v>
      </c>
      <c r="C23" s="261">
        <v>355</v>
      </c>
    </row>
    <row r="24" spans="2:5">
      <c r="B24" s="262" t="s">
        <v>151</v>
      </c>
      <c r="C24" s="263">
        <f>SUM(C22:C23)</f>
        <v>3980</v>
      </c>
    </row>
    <row r="25" spans="2:5">
      <c r="C25" s="261"/>
    </row>
    <row r="26" spans="2:5">
      <c r="B26" s="18" t="s">
        <v>1001</v>
      </c>
      <c r="C26" s="261"/>
    </row>
    <row r="27" spans="2:5">
      <c r="B27" t="s">
        <v>855</v>
      </c>
      <c r="C27" s="261">
        <v>1350</v>
      </c>
      <c r="E27" t="s">
        <v>856</v>
      </c>
    </row>
    <row r="28" spans="2:5">
      <c r="B28" t="s">
        <v>427</v>
      </c>
      <c r="C28" s="261">
        <v>450</v>
      </c>
      <c r="E28" t="s">
        <v>857</v>
      </c>
    </row>
    <row r="29" spans="2:5">
      <c r="B29" t="s">
        <v>428</v>
      </c>
      <c r="C29" s="261">
        <v>800</v>
      </c>
    </row>
    <row r="30" spans="2:5">
      <c r="B30" t="s">
        <v>429</v>
      </c>
      <c r="C30" s="261">
        <v>250</v>
      </c>
    </row>
    <row r="31" spans="2:5">
      <c r="B31" s="262" t="s">
        <v>151</v>
      </c>
      <c r="C31" s="263">
        <f>SUM(C27:C30)</f>
        <v>2850</v>
      </c>
    </row>
    <row r="32" spans="2:5">
      <c r="C32" s="261"/>
    </row>
    <row r="33" spans="2:5">
      <c r="B33" s="18" t="s">
        <v>1002</v>
      </c>
      <c r="C33" s="261"/>
    </row>
    <row r="34" spans="2:5">
      <c r="B34" t="s">
        <v>858</v>
      </c>
      <c r="C34" s="261">
        <v>2800</v>
      </c>
    </row>
    <row r="35" spans="2:5">
      <c r="B35" t="s">
        <v>859</v>
      </c>
      <c r="C35" s="261">
        <v>220</v>
      </c>
    </row>
    <row r="36" spans="2:5">
      <c r="B36" s="262" t="s">
        <v>151</v>
      </c>
      <c r="C36" s="263">
        <f>SUM(C34:C35)</f>
        <v>3020</v>
      </c>
    </row>
    <row r="37" spans="2:5">
      <c r="C37" s="261"/>
    </row>
    <row r="38" spans="2:5">
      <c r="B38" s="18" t="s">
        <v>1003</v>
      </c>
      <c r="C38" s="261"/>
    </row>
    <row r="39" spans="2:5">
      <c r="B39" t="s">
        <v>860</v>
      </c>
      <c r="C39" s="261">
        <v>2550</v>
      </c>
      <c r="E39" t="s">
        <v>861</v>
      </c>
    </row>
    <row r="40" spans="2:5">
      <c r="B40" s="262" t="s">
        <v>151</v>
      </c>
      <c r="C40" s="263">
        <f>SUM(C39:C39)</f>
        <v>2550</v>
      </c>
    </row>
    <row r="41" spans="2:5">
      <c r="C41" s="261"/>
    </row>
    <row r="42" spans="2:5">
      <c r="B42" s="18" t="s">
        <v>1004</v>
      </c>
      <c r="C42" s="261"/>
    </row>
    <row r="43" spans="2:5">
      <c r="B43" t="s">
        <v>860</v>
      </c>
      <c r="C43" s="261">
        <v>2550</v>
      </c>
      <c r="E43" t="s">
        <v>861</v>
      </c>
    </row>
    <row r="44" spans="2:5">
      <c r="B44" t="s">
        <v>826</v>
      </c>
      <c r="C44" s="261">
        <v>1155</v>
      </c>
      <c r="E44" t="s">
        <v>862</v>
      </c>
    </row>
    <row r="45" spans="2:5">
      <c r="B45" s="262" t="s">
        <v>151</v>
      </c>
      <c r="C45" s="263">
        <f>SUM(C43:C44)</f>
        <v>3705</v>
      </c>
    </row>
    <row r="46" spans="2:5">
      <c r="C46" s="261"/>
    </row>
    <row r="47" spans="2:5">
      <c r="B47" s="18" t="s">
        <v>1005</v>
      </c>
      <c r="C47" s="261"/>
    </row>
    <row r="48" spans="2:5">
      <c r="B48" t="s">
        <v>860</v>
      </c>
      <c r="C48" s="261">
        <v>2550</v>
      </c>
      <c r="E48" t="s">
        <v>861</v>
      </c>
    </row>
    <row r="49" spans="2:5">
      <c r="B49" t="s">
        <v>826</v>
      </c>
      <c r="C49" s="261">
        <f>+C44</f>
        <v>1155</v>
      </c>
      <c r="E49" t="s">
        <v>862</v>
      </c>
    </row>
    <row r="50" spans="2:5">
      <c r="B50" t="s">
        <v>825</v>
      </c>
      <c r="C50" s="261">
        <v>1290</v>
      </c>
    </row>
    <row r="51" spans="2:5">
      <c r="B51" s="262" t="s">
        <v>151</v>
      </c>
      <c r="C51" s="263">
        <f>SUM(C48:C50)</f>
        <v>4995</v>
      </c>
    </row>
    <row r="52" spans="2:5">
      <c r="C52" s="261"/>
    </row>
    <row r="53" spans="2:5">
      <c r="B53" s="18" t="s">
        <v>181</v>
      </c>
      <c r="C53" s="261">
        <v>590</v>
      </c>
    </row>
    <row r="54" spans="2:5">
      <c r="C54" s="261"/>
    </row>
  </sheetData>
  <pageMargins left="0.7" right="0.7" top="0.75" bottom="0.75" header="0.3" footer="0.3"/>
  <pageSetup paperSize="9" scale="72"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F80-1C40-4BE8-92E2-23007D52FAAA}">
  <sheetPr codeName="Sheet21">
    <tabColor rgb="FFFFFF00"/>
    <pageSetUpPr fitToPage="1"/>
  </sheetPr>
  <dimension ref="A1:R377"/>
  <sheetViews>
    <sheetView topLeftCell="A172" zoomScaleNormal="100" workbookViewId="0">
      <selection activeCell="D214" sqref="D214"/>
    </sheetView>
  </sheetViews>
  <sheetFormatPr defaultColWidth="9.109375" defaultRowHeight="18" customHeight="1"/>
  <cols>
    <col min="1" max="1" width="3.6640625" style="127" customWidth="1"/>
    <col min="2" max="2" width="15" style="40" customWidth="1"/>
    <col min="3" max="3" width="50.6640625" style="40" customWidth="1"/>
    <col min="4" max="4" width="9.5546875" style="107" customWidth="1"/>
    <col min="5" max="6" width="9.5546875" style="40" customWidth="1"/>
    <col min="7" max="7" width="9.109375" style="40"/>
    <col min="8" max="8" width="62.6640625" style="40" customWidth="1"/>
    <col min="9" max="9" width="12.6640625" style="40" customWidth="1"/>
    <col min="10" max="16384" width="9.109375" style="40"/>
  </cols>
  <sheetData>
    <row r="1" spans="2:10" ht="18" customHeight="1" thickBot="1"/>
    <row r="2" spans="2:10" ht="18" customHeight="1">
      <c r="B2" s="108"/>
      <c r="C2" s="109"/>
      <c r="D2" s="110"/>
      <c r="E2" s="109"/>
      <c r="F2" s="111"/>
    </row>
    <row r="3" spans="2:10" ht="18" customHeight="1">
      <c r="B3" s="112"/>
      <c r="C3" s="113"/>
      <c r="D3" s="114"/>
      <c r="E3" s="113"/>
      <c r="F3" s="115"/>
      <c r="G3" s="113"/>
    </row>
    <row r="4" spans="2:10" ht="39" customHeight="1">
      <c r="B4" s="116" t="s">
        <v>228</v>
      </c>
      <c r="C4" s="113"/>
      <c r="D4" s="117"/>
      <c r="E4" s="118"/>
      <c r="F4" s="119"/>
      <c r="G4" s="113"/>
      <c r="H4" s="113"/>
      <c r="I4" s="113"/>
    </row>
    <row r="5" spans="2:10" ht="11.25" customHeight="1">
      <c r="B5" s="120" t="s">
        <v>229</v>
      </c>
      <c r="C5" s="113"/>
      <c r="E5" s="121" t="s">
        <v>230</v>
      </c>
      <c r="F5" s="115"/>
      <c r="G5" s="118"/>
      <c r="H5" s="113"/>
      <c r="I5" s="113"/>
    </row>
    <row r="6" spans="2:10" ht="11.25" customHeight="1">
      <c r="B6" s="120" t="s">
        <v>231</v>
      </c>
      <c r="C6" s="113"/>
      <c r="E6" s="121" t="s">
        <v>232</v>
      </c>
      <c r="F6" s="115"/>
      <c r="G6" s="118"/>
      <c r="H6" s="113"/>
      <c r="I6" s="113"/>
      <c r="J6" s="113"/>
    </row>
    <row r="7" spans="2:10" ht="13.5" customHeight="1">
      <c r="B7" s="120" t="s">
        <v>233</v>
      </c>
      <c r="C7" s="113"/>
      <c r="E7" s="121" t="s">
        <v>234</v>
      </c>
      <c r="F7" s="115"/>
      <c r="G7" s="118"/>
      <c r="H7" s="113"/>
      <c r="I7" s="113"/>
      <c r="J7" s="113"/>
    </row>
    <row r="8" spans="2:10" ht="18" customHeight="1">
      <c r="B8" s="122"/>
      <c r="C8" s="113"/>
      <c r="D8" s="123"/>
      <c r="E8" s="113"/>
      <c r="F8" s="115"/>
      <c r="G8" s="113"/>
      <c r="H8" s="113"/>
      <c r="I8" s="113"/>
      <c r="J8" s="113"/>
    </row>
    <row r="9" spans="2:10" ht="18" customHeight="1">
      <c r="B9" s="124" t="s">
        <v>235</v>
      </c>
      <c r="C9" s="125">
        <f>+C48</f>
        <v>0</v>
      </c>
      <c r="D9" s="123"/>
      <c r="E9" s="113"/>
      <c r="F9" s="115"/>
      <c r="G9" s="113"/>
      <c r="H9" s="113"/>
      <c r="I9" s="113"/>
      <c r="J9" s="113"/>
    </row>
    <row r="10" spans="2:10" ht="18" customHeight="1">
      <c r="B10" s="122"/>
      <c r="C10" s="113"/>
      <c r="D10" s="123"/>
      <c r="E10" s="113"/>
      <c r="F10" s="115"/>
      <c r="G10" s="113"/>
      <c r="H10" s="113"/>
      <c r="I10" s="113"/>
      <c r="J10" s="113"/>
    </row>
    <row r="11" spans="2:10" ht="18" customHeight="1">
      <c r="B11" s="126" t="s">
        <v>236</v>
      </c>
      <c r="C11" s="113"/>
      <c r="D11" s="123"/>
      <c r="E11" s="113"/>
      <c r="F11" s="115"/>
      <c r="G11" s="113"/>
      <c r="H11" s="113"/>
      <c r="I11" s="113"/>
      <c r="J11" s="113"/>
    </row>
    <row r="12" spans="2:10" ht="18" customHeight="1">
      <c r="B12" s="122"/>
      <c r="C12" s="113"/>
      <c r="D12" s="123"/>
      <c r="E12" s="113"/>
      <c r="F12" s="115"/>
      <c r="G12" s="113"/>
      <c r="H12" s="113"/>
      <c r="I12" s="113"/>
      <c r="J12" s="113"/>
    </row>
    <row r="13" spans="2:10" ht="18" customHeight="1">
      <c r="B13" s="122" t="s">
        <v>237</v>
      </c>
      <c r="C13" s="113"/>
      <c r="D13" s="123"/>
      <c r="E13" s="113"/>
      <c r="F13" s="115"/>
      <c r="G13" s="113"/>
      <c r="H13" s="113"/>
      <c r="I13" s="113"/>
      <c r="J13" s="113"/>
    </row>
    <row r="14" spans="2:10" ht="18" customHeight="1">
      <c r="B14" s="122" t="s">
        <v>238</v>
      </c>
      <c r="C14" s="113"/>
      <c r="D14" s="123"/>
      <c r="E14" s="113"/>
      <c r="F14" s="115"/>
      <c r="G14" s="113"/>
      <c r="H14" s="113"/>
      <c r="I14" s="113"/>
      <c r="J14" s="113"/>
    </row>
    <row r="15" spans="2:10" ht="18" customHeight="1">
      <c r="B15" s="122"/>
      <c r="C15" s="113"/>
      <c r="D15" s="123"/>
      <c r="E15" s="113"/>
      <c r="F15" s="115"/>
      <c r="G15" s="113"/>
      <c r="H15" s="113"/>
      <c r="I15" s="113"/>
      <c r="J15" s="113"/>
    </row>
    <row r="16" spans="2:10" ht="18" customHeight="1">
      <c r="B16" s="122" t="s">
        <v>239</v>
      </c>
      <c r="C16" s="113"/>
      <c r="D16" s="123"/>
      <c r="E16" s="113"/>
      <c r="F16" s="115"/>
      <c r="G16" s="113"/>
      <c r="H16" s="113"/>
      <c r="I16" s="113"/>
      <c r="J16" s="113"/>
    </row>
    <row r="17" spans="2:10" ht="18" customHeight="1">
      <c r="B17" s="122">
        <f>+C52</f>
        <v>0</v>
      </c>
      <c r="C17" s="113"/>
      <c r="D17" s="123"/>
      <c r="E17" s="113"/>
      <c r="F17" s="115"/>
      <c r="G17" s="113"/>
      <c r="H17" s="113"/>
      <c r="I17" s="113"/>
      <c r="J17" s="113"/>
    </row>
    <row r="18" spans="2:10" ht="18" customHeight="1">
      <c r="B18" s="122"/>
      <c r="C18" s="113"/>
      <c r="D18" s="123"/>
      <c r="E18" s="113"/>
      <c r="F18" s="115"/>
      <c r="G18" s="113"/>
      <c r="H18" s="113"/>
      <c r="I18" s="113"/>
      <c r="J18" s="113"/>
    </row>
    <row r="19" spans="2:10" ht="18" customHeight="1">
      <c r="B19" s="122" t="s">
        <v>240</v>
      </c>
      <c r="C19" s="113"/>
      <c r="D19" s="123"/>
      <c r="E19" s="113"/>
      <c r="F19" s="115"/>
      <c r="G19" s="113"/>
      <c r="H19" s="113"/>
      <c r="I19" s="113"/>
      <c r="J19" s="113"/>
    </row>
    <row r="20" spans="2:10" ht="18" customHeight="1">
      <c r="B20" s="122" t="s">
        <v>241</v>
      </c>
      <c r="C20" s="113"/>
      <c r="D20" s="123"/>
      <c r="E20" s="113"/>
      <c r="F20" s="115"/>
      <c r="G20" s="113"/>
      <c r="H20" s="113"/>
      <c r="I20" s="113"/>
      <c r="J20" s="113"/>
    </row>
    <row r="21" spans="2:10" ht="18" customHeight="1">
      <c r="B21" s="122"/>
      <c r="C21" s="113"/>
      <c r="D21" s="123"/>
      <c r="E21" s="113"/>
      <c r="F21" s="115"/>
      <c r="G21" s="113"/>
      <c r="H21" s="113"/>
      <c r="I21" s="113"/>
      <c r="J21" s="113"/>
    </row>
    <row r="22" spans="2:10" ht="18" customHeight="1">
      <c r="B22" s="122" t="s">
        <v>242</v>
      </c>
      <c r="C22" s="113"/>
      <c r="D22" s="123"/>
      <c r="E22" s="113"/>
      <c r="F22" s="115"/>
      <c r="G22" s="113"/>
      <c r="H22" s="113"/>
      <c r="I22" s="113"/>
      <c r="J22" s="113"/>
    </row>
    <row r="23" spans="2:10" ht="18" customHeight="1">
      <c r="B23" s="122" t="s">
        <v>243</v>
      </c>
      <c r="C23" s="113"/>
      <c r="D23" s="123"/>
      <c r="E23" s="113"/>
      <c r="F23" s="115"/>
      <c r="G23" s="113"/>
      <c r="H23" s="113"/>
      <c r="I23" s="113"/>
      <c r="J23" s="113"/>
    </row>
    <row r="24" spans="2:10" ht="18" customHeight="1">
      <c r="B24" s="122" t="s">
        <v>244</v>
      </c>
      <c r="C24" s="113"/>
      <c r="D24" s="123"/>
      <c r="E24" s="113"/>
      <c r="F24" s="115"/>
      <c r="G24" s="113"/>
      <c r="H24" s="113"/>
      <c r="I24" s="113"/>
      <c r="J24" s="113"/>
    </row>
    <row r="25" spans="2:10" ht="18" customHeight="1">
      <c r="B25" s="122" t="s">
        <v>245</v>
      </c>
      <c r="C25" s="113"/>
      <c r="D25" s="123"/>
      <c r="E25" s="113"/>
      <c r="F25" s="115"/>
      <c r="G25" s="113"/>
      <c r="H25" s="113"/>
      <c r="I25" s="113"/>
      <c r="J25" s="113"/>
    </row>
    <row r="26" spans="2:10" ht="18" customHeight="1">
      <c r="B26" s="122"/>
      <c r="C26" s="113"/>
      <c r="D26" s="123"/>
      <c r="E26" s="113"/>
      <c r="F26" s="115"/>
      <c r="G26" s="113"/>
      <c r="H26" s="113"/>
      <c r="I26" s="113"/>
      <c r="J26" s="113"/>
    </row>
    <row r="27" spans="2:10" ht="18" customHeight="1">
      <c r="B27" s="122" t="s">
        <v>246</v>
      </c>
      <c r="C27" s="113"/>
      <c r="D27" s="123"/>
      <c r="E27" s="113"/>
      <c r="F27" s="115"/>
      <c r="G27" s="113"/>
      <c r="H27" s="113"/>
      <c r="I27" s="113"/>
      <c r="J27" s="113"/>
    </row>
    <row r="28" spans="2:10" ht="18" customHeight="1">
      <c r="B28" s="122" t="s">
        <v>247</v>
      </c>
      <c r="C28" s="113"/>
      <c r="D28" s="123"/>
      <c r="E28" s="113"/>
      <c r="F28" s="115"/>
      <c r="G28" s="113"/>
      <c r="H28" s="113"/>
      <c r="I28" s="113"/>
      <c r="J28" s="113"/>
    </row>
    <row r="29" spans="2:10" ht="18" customHeight="1">
      <c r="B29" s="122" t="s">
        <v>248</v>
      </c>
      <c r="C29" s="113"/>
      <c r="D29" s="123"/>
      <c r="E29" s="113"/>
      <c r="F29" s="115"/>
      <c r="G29" s="113"/>
      <c r="H29" s="113"/>
      <c r="I29" s="113"/>
      <c r="J29" s="113"/>
    </row>
    <row r="30" spans="2:10" ht="18" customHeight="1">
      <c r="B30" s="122" t="s">
        <v>249</v>
      </c>
      <c r="C30" s="113"/>
      <c r="D30" s="123"/>
      <c r="E30" s="113"/>
      <c r="F30" s="115"/>
      <c r="G30" s="113"/>
      <c r="H30" s="113"/>
      <c r="I30" s="113"/>
      <c r="J30" s="113"/>
    </row>
    <row r="31" spans="2:10" ht="18" customHeight="1">
      <c r="B31" s="122"/>
      <c r="C31" s="113"/>
      <c r="D31" s="123"/>
      <c r="E31" s="113"/>
      <c r="F31" s="115"/>
      <c r="G31" s="113"/>
      <c r="H31" s="113"/>
      <c r="I31" s="113"/>
      <c r="J31" s="113"/>
    </row>
    <row r="32" spans="2:10" ht="18" customHeight="1">
      <c r="B32" s="122" t="s">
        <v>250</v>
      </c>
      <c r="C32" s="113"/>
      <c r="D32" s="123"/>
      <c r="E32" s="113"/>
      <c r="F32" s="115"/>
      <c r="G32" s="113"/>
      <c r="H32" s="113"/>
      <c r="I32" s="113"/>
      <c r="J32" s="113"/>
    </row>
    <row r="33" spans="1:10" ht="18" customHeight="1">
      <c r="B33" s="128" t="s">
        <v>251</v>
      </c>
      <c r="C33" s="113"/>
      <c r="D33" s="123"/>
      <c r="E33" s="113"/>
      <c r="F33" s="115"/>
      <c r="G33" s="113"/>
      <c r="H33" s="113"/>
      <c r="I33" s="113"/>
      <c r="J33" s="113"/>
    </row>
    <row r="34" spans="1:10" ht="18" customHeight="1">
      <c r="B34" s="128" t="s">
        <v>252</v>
      </c>
      <c r="C34" s="113"/>
      <c r="D34" s="123"/>
      <c r="E34" s="113"/>
      <c r="F34" s="115"/>
      <c r="G34" s="113"/>
      <c r="H34" s="113"/>
      <c r="I34" s="113"/>
      <c r="J34" s="113"/>
    </row>
    <row r="35" spans="1:10" ht="18" customHeight="1">
      <c r="B35" s="128" t="s">
        <v>253</v>
      </c>
      <c r="C35" s="113"/>
      <c r="D35" s="123"/>
      <c r="E35" s="113"/>
      <c r="F35" s="115"/>
      <c r="G35" s="113"/>
      <c r="H35" s="113"/>
      <c r="I35" s="113"/>
      <c r="J35" s="113"/>
    </row>
    <row r="36" spans="1:10" ht="18" customHeight="1">
      <c r="B36" s="122"/>
      <c r="C36" s="113"/>
      <c r="D36" s="123"/>
      <c r="E36" s="113"/>
      <c r="F36" s="115"/>
      <c r="G36" s="113"/>
      <c r="H36" s="113"/>
      <c r="I36" s="113"/>
      <c r="J36" s="113"/>
    </row>
    <row r="37" spans="1:10" ht="18" customHeight="1">
      <c r="B37" s="122" t="s">
        <v>254</v>
      </c>
      <c r="C37" s="113"/>
      <c r="D37" s="123"/>
      <c r="E37" s="113"/>
      <c r="F37" s="115"/>
      <c r="G37" s="113"/>
      <c r="H37" s="113"/>
      <c r="I37" s="113"/>
      <c r="J37" s="113"/>
    </row>
    <row r="38" spans="1:10" ht="18" customHeight="1">
      <c r="B38" s="122" t="s">
        <v>255</v>
      </c>
      <c r="C38" s="113"/>
      <c r="D38" s="123"/>
      <c r="E38" s="113"/>
      <c r="F38" s="115"/>
      <c r="G38" s="113"/>
      <c r="H38" s="113"/>
      <c r="I38" s="113"/>
      <c r="J38" s="113"/>
    </row>
    <row r="39" spans="1:10" ht="18" customHeight="1">
      <c r="B39" s="122"/>
      <c r="C39" s="113"/>
      <c r="D39" s="123"/>
      <c r="E39" s="113"/>
      <c r="F39" s="115"/>
      <c r="G39" s="113"/>
      <c r="H39" s="113"/>
      <c r="I39" s="113"/>
      <c r="J39" s="113"/>
    </row>
    <row r="40" spans="1:10" ht="18" customHeight="1">
      <c r="B40" s="122" t="s">
        <v>256</v>
      </c>
      <c r="C40" s="113"/>
      <c r="D40" s="123"/>
      <c r="E40" s="113"/>
      <c r="F40" s="115"/>
      <c r="G40" s="113"/>
      <c r="H40" s="113"/>
      <c r="I40" s="113"/>
      <c r="J40" s="113"/>
    </row>
    <row r="41" spans="1:10" ht="18" customHeight="1">
      <c r="B41" s="122"/>
      <c r="C41" s="113"/>
      <c r="D41" s="123"/>
      <c r="E41" s="113"/>
      <c r="F41" s="115"/>
      <c r="G41" s="113"/>
      <c r="H41" s="113"/>
      <c r="I41" s="113"/>
      <c r="J41" s="113"/>
    </row>
    <row r="42" spans="1:10" ht="18" customHeight="1">
      <c r="B42" s="122"/>
      <c r="C42" s="113"/>
      <c r="D42" s="123"/>
      <c r="E42" s="113"/>
      <c r="F42" s="115"/>
      <c r="G42" s="113"/>
      <c r="H42" s="113"/>
      <c r="I42" s="113"/>
      <c r="J42" s="113"/>
    </row>
    <row r="43" spans="1:10" ht="18" customHeight="1">
      <c r="B43" s="126"/>
      <c r="C43" s="113"/>
      <c r="D43" s="123"/>
      <c r="E43" s="113"/>
      <c r="F43" s="115"/>
      <c r="G43" s="113"/>
      <c r="H43" s="113"/>
      <c r="I43" s="113"/>
      <c r="J43" s="113"/>
    </row>
    <row r="44" spans="1:10" ht="18" customHeight="1" thickBot="1">
      <c r="B44" s="129" t="s">
        <v>257</v>
      </c>
      <c r="C44" s="130"/>
      <c r="D44" s="131"/>
      <c r="E44" s="130"/>
      <c r="F44" s="132"/>
      <c r="G44" s="113"/>
      <c r="H44" s="113"/>
      <c r="I44" s="113"/>
      <c r="J44" s="113"/>
    </row>
    <row r="46" spans="1:10" ht="22.5" customHeight="1">
      <c r="I46" s="133"/>
    </row>
    <row r="47" spans="1:10" ht="24.9" customHeight="1" thickBot="1">
      <c r="A47" s="134"/>
      <c r="B47" s="560" t="s">
        <v>258</v>
      </c>
      <c r="C47" s="560"/>
      <c r="D47" s="135"/>
      <c r="E47" s="134"/>
      <c r="F47" s="134"/>
    </row>
    <row r="48" spans="1:10" ht="18" customHeight="1">
      <c r="A48" s="136"/>
      <c r="B48" s="159" t="s">
        <v>259</v>
      </c>
      <c r="C48" s="562"/>
      <c r="D48" s="562"/>
      <c r="E48" s="562"/>
      <c r="F48" s="563"/>
      <c r="G48" s="138"/>
    </row>
    <row r="49" spans="1:10" ht="18" customHeight="1">
      <c r="A49" s="136"/>
      <c r="B49" s="552" t="s">
        <v>260</v>
      </c>
      <c r="C49" s="564"/>
      <c r="D49" s="564"/>
      <c r="E49" s="564"/>
      <c r="F49" s="565"/>
      <c r="H49" s="139"/>
      <c r="I49" s="140"/>
      <c r="J49" s="140"/>
    </row>
    <row r="50" spans="1:10" ht="18" customHeight="1">
      <c r="A50" s="136"/>
      <c r="B50" s="552" t="s">
        <v>261</v>
      </c>
      <c r="C50" s="564"/>
      <c r="D50" s="564"/>
      <c r="E50" s="564"/>
      <c r="F50" s="565"/>
      <c r="H50" s="139"/>
      <c r="I50" s="140"/>
      <c r="J50" s="140"/>
    </row>
    <row r="51" spans="1:10" ht="18" customHeight="1">
      <c r="A51" s="136"/>
      <c r="B51" s="552" t="s">
        <v>262</v>
      </c>
      <c r="C51" s="564"/>
      <c r="D51" s="564"/>
      <c r="E51" s="564"/>
      <c r="F51" s="565"/>
      <c r="H51" s="139"/>
      <c r="I51" s="140"/>
      <c r="J51" s="140"/>
    </row>
    <row r="52" spans="1:10" ht="18" customHeight="1" thickBot="1">
      <c r="A52" s="136"/>
      <c r="B52" s="141" t="s">
        <v>263</v>
      </c>
      <c r="C52" s="576"/>
      <c r="D52" s="576"/>
      <c r="E52" s="576"/>
      <c r="F52" s="577"/>
    </row>
    <row r="53" spans="1:10" ht="18" customHeight="1" thickBot="1">
      <c r="A53" s="142"/>
      <c r="B53" s="139"/>
      <c r="C53" s="139"/>
      <c r="D53" s="139"/>
      <c r="E53" s="139"/>
      <c r="F53" s="139"/>
    </row>
    <row r="54" spans="1:10" s="144" customFormat="1" ht="18" customHeight="1">
      <c r="A54" s="143"/>
      <c r="B54" s="573" t="s">
        <v>264</v>
      </c>
      <c r="C54" s="574"/>
      <c r="D54" s="574"/>
      <c r="E54" s="574"/>
      <c r="F54" s="575"/>
    </row>
    <row r="55" spans="1:10" s="144" customFormat="1" ht="18" customHeight="1">
      <c r="A55" s="143"/>
      <c r="B55" s="265" t="s">
        <v>265</v>
      </c>
      <c r="C55" s="146"/>
      <c r="D55" s="566"/>
      <c r="E55" s="567"/>
      <c r="F55" s="568"/>
    </row>
    <row r="56" spans="1:10" ht="18" customHeight="1">
      <c r="A56" s="136"/>
      <c r="B56" s="547" t="s">
        <v>266</v>
      </c>
      <c r="C56" s="548"/>
      <c r="D56" s="566" t="s">
        <v>267</v>
      </c>
      <c r="E56" s="567"/>
      <c r="F56" s="568"/>
    </row>
    <row r="57" spans="1:10" ht="18" customHeight="1">
      <c r="A57" s="136"/>
      <c r="B57" s="547" t="s">
        <v>268</v>
      </c>
      <c r="C57" s="548"/>
      <c r="D57" s="566" t="s">
        <v>267</v>
      </c>
      <c r="E57" s="567"/>
      <c r="F57" s="568"/>
    </row>
    <row r="58" spans="1:10" ht="18" customHeight="1">
      <c r="A58" s="136"/>
      <c r="B58" s="547" t="s">
        <v>269</v>
      </c>
      <c r="C58" s="548"/>
      <c r="D58" s="566" t="s">
        <v>267</v>
      </c>
      <c r="E58" s="567"/>
      <c r="F58" s="568"/>
    </row>
    <row r="59" spans="1:10" ht="18" customHeight="1">
      <c r="A59" s="136"/>
      <c r="B59" s="547" t="s">
        <v>270</v>
      </c>
      <c r="C59" s="548"/>
      <c r="D59" s="566" t="s">
        <v>267</v>
      </c>
      <c r="E59" s="567"/>
      <c r="F59" s="568"/>
    </row>
    <row r="60" spans="1:10" ht="18" customHeight="1">
      <c r="A60" s="136"/>
      <c r="B60" s="547" t="s">
        <v>271</v>
      </c>
      <c r="C60" s="548"/>
      <c r="D60" s="566" t="s">
        <v>267</v>
      </c>
      <c r="E60" s="567"/>
      <c r="F60" s="568"/>
      <c r="I60" s="107"/>
    </row>
    <row r="61" spans="1:10" ht="18" customHeight="1">
      <c r="A61" s="136"/>
      <c r="B61" s="547" t="s">
        <v>272</v>
      </c>
      <c r="C61" s="548"/>
      <c r="D61" s="566" t="s">
        <v>267</v>
      </c>
      <c r="E61" s="567"/>
      <c r="F61" s="568"/>
    </row>
    <row r="62" spans="1:10" ht="18" customHeight="1">
      <c r="B62" s="547" t="s">
        <v>273</v>
      </c>
      <c r="C62" s="548"/>
      <c r="D62" s="566" t="s">
        <v>267</v>
      </c>
      <c r="E62" s="567"/>
      <c r="F62" s="568"/>
    </row>
    <row r="63" spans="1:10" ht="18" customHeight="1">
      <c r="B63" s="265" t="s">
        <v>274</v>
      </c>
      <c r="C63" s="146"/>
      <c r="D63" s="566"/>
      <c r="E63" s="567"/>
      <c r="F63" s="568"/>
    </row>
    <row r="64" spans="1:10" ht="18" customHeight="1">
      <c r="B64" s="547" t="s">
        <v>275</v>
      </c>
      <c r="C64" s="548"/>
      <c r="D64" s="566" t="s">
        <v>267</v>
      </c>
      <c r="E64" s="567"/>
      <c r="F64" s="568"/>
    </row>
    <row r="65" spans="2:7" ht="18" customHeight="1">
      <c r="B65" s="547" t="s">
        <v>276</v>
      </c>
      <c r="C65" s="548"/>
      <c r="D65" s="566" t="s">
        <v>267</v>
      </c>
      <c r="E65" s="567"/>
      <c r="F65" s="568"/>
    </row>
    <row r="66" spans="2:7" ht="18" customHeight="1">
      <c r="B66" s="547" t="s">
        <v>277</v>
      </c>
      <c r="C66" s="548"/>
      <c r="D66" s="566" t="s">
        <v>267</v>
      </c>
      <c r="E66" s="567"/>
      <c r="F66" s="568"/>
      <c r="G66" s="147"/>
    </row>
    <row r="67" spans="2:7" ht="18" customHeight="1">
      <c r="B67" s="547" t="s">
        <v>278</v>
      </c>
      <c r="C67" s="548"/>
      <c r="D67" s="566" t="s">
        <v>267</v>
      </c>
      <c r="E67" s="567"/>
      <c r="F67" s="568"/>
    </row>
    <row r="68" spans="2:7" ht="18" customHeight="1">
      <c r="B68" s="547" t="s">
        <v>279</v>
      </c>
      <c r="C68" s="548"/>
      <c r="D68" s="566"/>
      <c r="E68" s="567"/>
      <c r="F68" s="568"/>
    </row>
    <row r="69" spans="2:7" ht="18" customHeight="1">
      <c r="B69" s="265" t="s">
        <v>280</v>
      </c>
      <c r="C69" s="146"/>
      <c r="D69" s="566"/>
      <c r="E69" s="567"/>
      <c r="F69" s="568"/>
    </row>
    <row r="70" spans="2:7" ht="18" customHeight="1">
      <c r="B70" s="547" t="s">
        <v>281</v>
      </c>
      <c r="C70" s="548"/>
      <c r="D70" s="566" t="s">
        <v>267</v>
      </c>
      <c r="E70" s="567"/>
      <c r="F70" s="568"/>
    </row>
    <row r="71" spans="2:7" ht="24.75" customHeight="1">
      <c r="B71" s="547" t="s">
        <v>282</v>
      </c>
      <c r="C71" s="548"/>
      <c r="D71" s="566" t="s">
        <v>267</v>
      </c>
      <c r="E71" s="567"/>
      <c r="F71" s="568"/>
    </row>
    <row r="72" spans="2:7" ht="18" customHeight="1">
      <c r="B72" s="547" t="s">
        <v>283</v>
      </c>
      <c r="C72" s="548"/>
      <c r="D72" s="566" t="s">
        <v>267</v>
      </c>
      <c r="E72" s="567"/>
      <c r="F72" s="568"/>
    </row>
    <row r="73" spans="2:7" ht="18" customHeight="1">
      <c r="B73" s="265" t="s">
        <v>284</v>
      </c>
      <c r="C73" s="146"/>
      <c r="D73" s="566"/>
      <c r="E73" s="567"/>
      <c r="F73" s="568"/>
    </row>
    <row r="74" spans="2:7" ht="18" customHeight="1">
      <c r="B74" s="569" t="s">
        <v>285</v>
      </c>
      <c r="C74" s="570"/>
      <c r="D74" s="566" t="s">
        <v>267</v>
      </c>
      <c r="E74" s="567"/>
      <c r="F74" s="568"/>
    </row>
    <row r="75" spans="2:7" ht="18" customHeight="1">
      <c r="B75" s="265" t="s">
        <v>286</v>
      </c>
      <c r="C75" s="146"/>
      <c r="D75" s="566"/>
      <c r="E75" s="567"/>
      <c r="F75" s="568"/>
    </row>
    <row r="76" spans="2:7" ht="18" customHeight="1">
      <c r="B76" s="547" t="s">
        <v>287</v>
      </c>
      <c r="C76" s="548"/>
      <c r="D76" s="566" t="s">
        <v>267</v>
      </c>
      <c r="E76" s="567"/>
      <c r="F76" s="568"/>
    </row>
    <row r="77" spans="2:7" ht="18" customHeight="1">
      <c r="B77" s="547" t="s">
        <v>288</v>
      </c>
      <c r="C77" s="548"/>
      <c r="D77" s="566" t="s">
        <v>267</v>
      </c>
      <c r="E77" s="567"/>
      <c r="F77" s="568"/>
    </row>
    <row r="78" spans="2:7" ht="18" customHeight="1">
      <c r="B78" s="547" t="s">
        <v>289</v>
      </c>
      <c r="C78" s="548"/>
      <c r="D78" s="566" t="s">
        <v>267</v>
      </c>
      <c r="E78" s="567"/>
      <c r="F78" s="568"/>
    </row>
    <row r="79" spans="2:7" ht="18" customHeight="1">
      <c r="B79" s="265" t="s">
        <v>290</v>
      </c>
      <c r="C79" s="146"/>
      <c r="D79" s="566"/>
      <c r="E79" s="567"/>
      <c r="F79" s="568"/>
    </row>
    <row r="80" spans="2:7" ht="18" customHeight="1">
      <c r="B80" s="547" t="s">
        <v>291</v>
      </c>
      <c r="C80" s="572"/>
      <c r="D80" s="566" t="s">
        <v>267</v>
      </c>
      <c r="E80" s="567"/>
      <c r="F80" s="568"/>
    </row>
    <row r="81" spans="2:6" ht="18" customHeight="1">
      <c r="B81" s="265" t="s">
        <v>292</v>
      </c>
      <c r="C81" s="146"/>
      <c r="D81" s="566"/>
      <c r="E81" s="567"/>
      <c r="F81" s="568"/>
    </row>
    <row r="82" spans="2:6" ht="18" customHeight="1">
      <c r="B82" s="547" t="s">
        <v>293</v>
      </c>
      <c r="C82" s="572"/>
      <c r="D82" s="566" t="s">
        <v>267</v>
      </c>
      <c r="E82" s="567"/>
      <c r="F82" s="568"/>
    </row>
    <row r="83" spans="2:6" ht="27.75" customHeight="1">
      <c r="B83" s="569" t="s">
        <v>294</v>
      </c>
      <c r="C83" s="570"/>
      <c r="D83" s="566" t="s">
        <v>267</v>
      </c>
      <c r="E83" s="567"/>
      <c r="F83" s="568"/>
    </row>
    <row r="84" spans="2:6" ht="18" customHeight="1">
      <c r="B84" s="265" t="s">
        <v>295</v>
      </c>
      <c r="C84" s="146"/>
      <c r="D84" s="566"/>
      <c r="E84" s="567"/>
      <c r="F84" s="568"/>
    </row>
    <row r="85" spans="2:6" ht="18" customHeight="1">
      <c r="B85" s="569" t="s">
        <v>296</v>
      </c>
      <c r="C85" s="570"/>
      <c r="D85" s="566" t="s">
        <v>267</v>
      </c>
      <c r="E85" s="567"/>
      <c r="F85" s="568"/>
    </row>
    <row r="86" spans="2:6" ht="26.25" customHeight="1">
      <c r="B86" s="569" t="s">
        <v>297</v>
      </c>
      <c r="C86" s="570"/>
      <c r="D86" s="566" t="s">
        <v>267</v>
      </c>
      <c r="E86" s="567"/>
      <c r="F86" s="568"/>
    </row>
    <row r="87" spans="2:6" ht="27" customHeight="1">
      <c r="B87" s="569" t="s">
        <v>298</v>
      </c>
      <c r="C87" s="570"/>
      <c r="D87" s="566" t="s">
        <v>267</v>
      </c>
      <c r="E87" s="567"/>
      <c r="F87" s="568"/>
    </row>
    <row r="88" spans="2:6" ht="18" customHeight="1">
      <c r="B88" s="265" t="s">
        <v>299</v>
      </c>
      <c r="C88" s="146"/>
      <c r="D88" s="566"/>
      <c r="E88" s="567"/>
      <c r="F88" s="568"/>
    </row>
    <row r="89" spans="2:6" ht="18" customHeight="1">
      <c r="B89" s="569" t="s">
        <v>300</v>
      </c>
      <c r="C89" s="570"/>
      <c r="D89" s="566" t="s">
        <v>267</v>
      </c>
      <c r="E89" s="567"/>
      <c r="F89" s="568"/>
    </row>
    <row r="90" spans="2:6" ht="27" customHeight="1">
      <c r="B90" s="569" t="s">
        <v>301</v>
      </c>
      <c r="C90" s="570"/>
      <c r="D90" s="566" t="s">
        <v>267</v>
      </c>
      <c r="E90" s="567"/>
      <c r="F90" s="568"/>
    </row>
    <row r="91" spans="2:6" ht="18" customHeight="1">
      <c r="B91" s="265" t="s">
        <v>302</v>
      </c>
      <c r="C91" s="146"/>
      <c r="D91" s="566"/>
      <c r="E91" s="567"/>
      <c r="F91" s="568"/>
    </row>
    <row r="92" spans="2:6" ht="27" customHeight="1">
      <c r="B92" s="569" t="s">
        <v>303</v>
      </c>
      <c r="C92" s="570"/>
      <c r="D92" s="566" t="s">
        <v>267</v>
      </c>
      <c r="E92" s="567"/>
      <c r="F92" s="568"/>
    </row>
    <row r="93" spans="2:6" ht="27" customHeight="1">
      <c r="B93" s="569" t="s">
        <v>304</v>
      </c>
      <c r="C93" s="570"/>
      <c r="D93" s="566" t="s">
        <v>267</v>
      </c>
      <c r="E93" s="567"/>
      <c r="F93" s="568"/>
    </row>
    <row r="94" spans="2:6" ht="18" customHeight="1">
      <c r="B94" s="569" t="s">
        <v>305</v>
      </c>
      <c r="C94" s="571"/>
      <c r="D94" s="566" t="s">
        <v>267</v>
      </c>
      <c r="E94" s="567"/>
      <c r="F94" s="568"/>
    </row>
    <row r="95" spans="2:6" ht="18" customHeight="1">
      <c r="B95" s="265" t="s">
        <v>306</v>
      </c>
      <c r="C95" s="146"/>
      <c r="D95" s="566"/>
      <c r="E95" s="567"/>
      <c r="F95" s="568"/>
    </row>
    <row r="96" spans="2:6" ht="18" customHeight="1">
      <c r="B96" s="569" t="s">
        <v>307</v>
      </c>
      <c r="C96" s="570"/>
      <c r="D96" s="566" t="s">
        <v>267</v>
      </c>
      <c r="E96" s="567"/>
      <c r="F96" s="568"/>
    </row>
    <row r="97" spans="2:6" ht="18" customHeight="1">
      <c r="B97" s="569" t="s">
        <v>308</v>
      </c>
      <c r="C97" s="570"/>
      <c r="D97" s="566" t="s">
        <v>267</v>
      </c>
      <c r="E97" s="567"/>
      <c r="F97" s="568"/>
    </row>
    <row r="98" spans="2:6" ht="18" customHeight="1">
      <c r="B98" s="569" t="s">
        <v>309</v>
      </c>
      <c r="C98" s="570"/>
      <c r="D98" s="566" t="s">
        <v>267</v>
      </c>
      <c r="E98" s="567"/>
      <c r="F98" s="568"/>
    </row>
    <row r="99" spans="2:6" ht="18" customHeight="1">
      <c r="B99" s="265" t="s">
        <v>310</v>
      </c>
      <c r="C99" s="148"/>
      <c r="D99" s="566"/>
      <c r="E99" s="567"/>
      <c r="F99" s="568"/>
    </row>
    <row r="100" spans="2:6" ht="18" customHeight="1">
      <c r="B100" s="569" t="s">
        <v>311</v>
      </c>
      <c r="C100" s="570"/>
      <c r="D100" s="566" t="s">
        <v>267</v>
      </c>
      <c r="E100" s="567"/>
      <c r="F100" s="568"/>
    </row>
    <row r="101" spans="2:6" ht="18" customHeight="1">
      <c r="B101" s="569" t="s">
        <v>312</v>
      </c>
      <c r="C101" s="570"/>
      <c r="D101" s="566" t="s">
        <v>267</v>
      </c>
      <c r="E101" s="567"/>
      <c r="F101" s="568"/>
    </row>
    <row r="102" spans="2:6" ht="27" customHeight="1">
      <c r="B102" s="569" t="s">
        <v>313</v>
      </c>
      <c r="C102" s="570"/>
      <c r="D102" s="566" t="s">
        <v>267</v>
      </c>
      <c r="E102" s="567"/>
      <c r="F102" s="568"/>
    </row>
    <row r="103" spans="2:6" ht="18" customHeight="1">
      <c r="B103" s="569" t="s">
        <v>314</v>
      </c>
      <c r="C103" s="570"/>
      <c r="D103" s="566" t="s">
        <v>267</v>
      </c>
      <c r="E103" s="567"/>
      <c r="F103" s="568"/>
    </row>
    <row r="104" spans="2:6" ht="18" customHeight="1">
      <c r="B104" s="265" t="s">
        <v>315</v>
      </c>
      <c r="C104" s="146"/>
      <c r="D104" s="566"/>
      <c r="E104" s="567"/>
      <c r="F104" s="568"/>
    </row>
    <row r="105" spans="2:6" ht="18" customHeight="1">
      <c r="B105" s="569" t="s">
        <v>316</v>
      </c>
      <c r="C105" s="570"/>
      <c r="D105" s="566" t="s">
        <v>267</v>
      </c>
      <c r="E105" s="567"/>
      <c r="F105" s="568"/>
    </row>
    <row r="106" spans="2:6" ht="18" customHeight="1">
      <c r="B106" s="569" t="s">
        <v>317</v>
      </c>
      <c r="C106" s="570"/>
      <c r="D106" s="566" t="s">
        <v>267</v>
      </c>
      <c r="E106" s="567"/>
      <c r="F106" s="568"/>
    </row>
    <row r="107" spans="2:6" ht="18" customHeight="1">
      <c r="B107" s="569" t="s">
        <v>318</v>
      </c>
      <c r="C107" s="570"/>
      <c r="D107" s="566" t="s">
        <v>267</v>
      </c>
      <c r="E107" s="567"/>
      <c r="F107" s="568"/>
    </row>
    <row r="108" spans="2:6" ht="18" customHeight="1">
      <c r="B108" s="265" t="s">
        <v>319</v>
      </c>
      <c r="C108" s="146"/>
      <c r="D108" s="566"/>
      <c r="E108" s="567"/>
      <c r="F108" s="568"/>
    </row>
    <row r="109" spans="2:6" ht="18" customHeight="1">
      <c r="B109" s="569" t="s">
        <v>320</v>
      </c>
      <c r="C109" s="570"/>
      <c r="D109" s="566" t="s">
        <v>267</v>
      </c>
      <c r="E109" s="567"/>
      <c r="F109" s="568"/>
    </row>
    <row r="110" spans="2:6" ht="18" customHeight="1">
      <c r="B110" s="569" t="s">
        <v>321</v>
      </c>
      <c r="C110" s="570"/>
      <c r="D110" s="566" t="s">
        <v>267</v>
      </c>
      <c r="E110" s="567"/>
      <c r="F110" s="568"/>
    </row>
    <row r="111" spans="2:6" ht="18" customHeight="1">
      <c r="B111" s="569" t="s">
        <v>322</v>
      </c>
      <c r="C111" s="570"/>
      <c r="D111" s="566" t="s">
        <v>267</v>
      </c>
      <c r="E111" s="567"/>
      <c r="F111" s="568"/>
    </row>
    <row r="112" spans="2:6" ht="18" customHeight="1">
      <c r="B112" s="569" t="s">
        <v>323</v>
      </c>
      <c r="C112" s="570"/>
      <c r="D112" s="566" t="s">
        <v>267</v>
      </c>
      <c r="E112" s="567"/>
      <c r="F112" s="568"/>
    </row>
    <row r="113" spans="2:6" ht="18" customHeight="1">
      <c r="B113" s="265" t="s">
        <v>324</v>
      </c>
      <c r="C113" s="149"/>
      <c r="D113" s="566"/>
      <c r="E113" s="567"/>
      <c r="F113" s="568"/>
    </row>
    <row r="114" spans="2:6" ht="18" customHeight="1">
      <c r="B114" s="569" t="s">
        <v>325</v>
      </c>
      <c r="C114" s="570"/>
      <c r="D114" s="566" t="s">
        <v>267</v>
      </c>
      <c r="E114" s="567"/>
      <c r="F114" s="568"/>
    </row>
    <row r="115" spans="2:6" ht="18" customHeight="1">
      <c r="B115" s="569" t="s">
        <v>326</v>
      </c>
      <c r="C115" s="570"/>
      <c r="D115" s="566" t="s">
        <v>267</v>
      </c>
      <c r="E115" s="567"/>
      <c r="F115" s="568"/>
    </row>
    <row r="116" spans="2:6" ht="18" customHeight="1">
      <c r="B116" s="569" t="s">
        <v>327</v>
      </c>
      <c r="C116" s="570"/>
      <c r="D116" s="566" t="s">
        <v>267</v>
      </c>
      <c r="E116" s="567"/>
      <c r="F116" s="568"/>
    </row>
    <row r="117" spans="2:6" ht="18" customHeight="1">
      <c r="B117" s="569" t="s">
        <v>328</v>
      </c>
      <c r="C117" s="570"/>
      <c r="D117" s="566" t="s">
        <v>267</v>
      </c>
      <c r="E117" s="567"/>
      <c r="F117" s="568"/>
    </row>
    <row r="118" spans="2:6" ht="27" customHeight="1">
      <c r="B118" s="569" t="s">
        <v>329</v>
      </c>
      <c r="C118" s="570"/>
      <c r="D118" s="566" t="s">
        <v>267</v>
      </c>
      <c r="E118" s="567"/>
      <c r="F118" s="568"/>
    </row>
    <row r="119" spans="2:6" ht="18" customHeight="1">
      <c r="B119" s="569" t="s">
        <v>330</v>
      </c>
      <c r="C119" s="570"/>
      <c r="D119" s="566" t="s">
        <v>267</v>
      </c>
      <c r="E119" s="567"/>
      <c r="F119" s="568"/>
    </row>
    <row r="120" spans="2:6" ht="18" customHeight="1">
      <c r="B120" s="569" t="s">
        <v>331</v>
      </c>
      <c r="C120" s="570"/>
      <c r="D120" s="566" t="s">
        <v>267</v>
      </c>
      <c r="E120" s="567"/>
      <c r="F120" s="568"/>
    </row>
    <row r="121" spans="2:6" ht="18" customHeight="1">
      <c r="B121" s="569" t="s">
        <v>332</v>
      </c>
      <c r="C121" s="570"/>
      <c r="D121" s="566" t="s">
        <v>267</v>
      </c>
      <c r="E121" s="567"/>
      <c r="F121" s="568"/>
    </row>
    <row r="122" spans="2:6" ht="18" customHeight="1">
      <c r="B122" s="569" t="s">
        <v>333</v>
      </c>
      <c r="C122" s="570"/>
      <c r="D122" s="566" t="s">
        <v>267</v>
      </c>
      <c r="E122" s="567"/>
      <c r="F122" s="568"/>
    </row>
    <row r="123" spans="2:6" ht="18" customHeight="1">
      <c r="B123" s="569" t="s">
        <v>334</v>
      </c>
      <c r="C123" s="570"/>
      <c r="D123" s="566" t="s">
        <v>267</v>
      </c>
      <c r="E123" s="567"/>
      <c r="F123" s="568"/>
    </row>
    <row r="124" spans="2:6" ht="18" customHeight="1">
      <c r="B124" s="265" t="s">
        <v>335</v>
      </c>
      <c r="C124" s="149"/>
      <c r="D124" s="566"/>
      <c r="E124" s="567"/>
      <c r="F124" s="568"/>
    </row>
    <row r="125" spans="2:6" ht="18" customHeight="1">
      <c r="B125" s="569" t="s">
        <v>336</v>
      </c>
      <c r="C125" s="570"/>
      <c r="D125" s="566" t="s">
        <v>267</v>
      </c>
      <c r="E125" s="567"/>
      <c r="F125" s="568"/>
    </row>
    <row r="126" spans="2:6" ht="18" customHeight="1">
      <c r="B126" s="569" t="s">
        <v>337</v>
      </c>
      <c r="C126" s="570"/>
      <c r="D126" s="566" t="s">
        <v>267</v>
      </c>
      <c r="E126" s="567"/>
      <c r="F126" s="568"/>
    </row>
    <row r="127" spans="2:6" ht="18" customHeight="1">
      <c r="B127" s="569" t="s">
        <v>338</v>
      </c>
      <c r="C127" s="571"/>
      <c r="D127" s="566" t="s">
        <v>267</v>
      </c>
      <c r="E127" s="567"/>
      <c r="F127" s="568"/>
    </row>
    <row r="128" spans="2:6" ht="18" customHeight="1">
      <c r="B128" s="569" t="s">
        <v>339</v>
      </c>
      <c r="C128" s="570"/>
      <c r="D128" s="566" t="s">
        <v>267</v>
      </c>
      <c r="E128" s="567"/>
      <c r="F128" s="568"/>
    </row>
    <row r="129" spans="2:6" ht="18" customHeight="1">
      <c r="B129" s="569" t="s">
        <v>340</v>
      </c>
      <c r="C129" s="570"/>
      <c r="D129" s="566" t="s">
        <v>267</v>
      </c>
      <c r="E129" s="567"/>
      <c r="F129" s="568"/>
    </row>
    <row r="130" spans="2:6" ht="18" customHeight="1">
      <c r="B130" s="569" t="s">
        <v>341</v>
      </c>
      <c r="C130" s="570"/>
      <c r="D130" s="566" t="s">
        <v>267</v>
      </c>
      <c r="E130" s="567"/>
      <c r="F130" s="568"/>
    </row>
    <row r="131" spans="2:6" ht="18" customHeight="1">
      <c r="B131" s="569" t="s">
        <v>342</v>
      </c>
      <c r="C131" s="570"/>
      <c r="D131" s="566" t="s">
        <v>267</v>
      </c>
      <c r="E131" s="567"/>
      <c r="F131" s="568"/>
    </row>
    <row r="132" spans="2:6" ht="18" customHeight="1">
      <c r="B132" s="569" t="s">
        <v>343</v>
      </c>
      <c r="C132" s="570"/>
      <c r="D132" s="566" t="s">
        <v>267</v>
      </c>
      <c r="E132" s="567"/>
      <c r="F132" s="568"/>
    </row>
    <row r="133" spans="2:6" ht="18" customHeight="1">
      <c r="B133" s="569" t="s">
        <v>344</v>
      </c>
      <c r="C133" s="570"/>
      <c r="D133" s="566" t="s">
        <v>267</v>
      </c>
      <c r="E133" s="567"/>
      <c r="F133" s="568"/>
    </row>
    <row r="134" spans="2:6" ht="18" customHeight="1">
      <c r="B134" s="569" t="s">
        <v>345</v>
      </c>
      <c r="C134" s="570"/>
      <c r="D134" s="566" t="s">
        <v>267</v>
      </c>
      <c r="E134" s="567"/>
      <c r="F134" s="568"/>
    </row>
    <row r="135" spans="2:6" ht="18" customHeight="1">
      <c r="B135" s="265" t="s">
        <v>346</v>
      </c>
      <c r="C135" s="149"/>
      <c r="D135" s="566"/>
      <c r="E135" s="567"/>
      <c r="F135" s="568"/>
    </row>
    <row r="136" spans="2:6" ht="18" customHeight="1">
      <c r="B136" s="569" t="s">
        <v>347</v>
      </c>
      <c r="C136" s="570"/>
      <c r="D136" s="566" t="s">
        <v>267</v>
      </c>
      <c r="E136" s="567"/>
      <c r="F136" s="568"/>
    </row>
    <row r="137" spans="2:6" ht="18" customHeight="1">
      <c r="B137" s="265" t="s">
        <v>348</v>
      </c>
      <c r="C137" s="149"/>
      <c r="D137" s="566"/>
      <c r="E137" s="567"/>
      <c r="F137" s="568"/>
    </row>
    <row r="138" spans="2:6" ht="18" customHeight="1">
      <c r="B138" s="569" t="s">
        <v>349</v>
      </c>
      <c r="C138" s="570"/>
      <c r="D138" s="566" t="s">
        <v>267</v>
      </c>
      <c r="E138" s="567"/>
      <c r="F138" s="568"/>
    </row>
    <row r="139" spans="2:6" ht="18" customHeight="1">
      <c r="B139" s="569" t="s">
        <v>350</v>
      </c>
      <c r="C139" s="570"/>
      <c r="D139" s="566" t="s">
        <v>267</v>
      </c>
      <c r="E139" s="567"/>
      <c r="F139" s="568"/>
    </row>
    <row r="140" spans="2:6" ht="18" customHeight="1">
      <c r="B140" s="569" t="s">
        <v>351</v>
      </c>
      <c r="C140" s="570"/>
      <c r="D140" s="566" t="s">
        <v>267</v>
      </c>
      <c r="E140" s="567"/>
      <c r="F140" s="568"/>
    </row>
    <row r="141" spans="2:6" ht="18" customHeight="1">
      <c r="B141" s="569" t="s">
        <v>352</v>
      </c>
      <c r="C141" s="570"/>
      <c r="D141" s="566" t="s">
        <v>267</v>
      </c>
      <c r="E141" s="567"/>
      <c r="F141" s="568"/>
    </row>
    <row r="142" spans="2:6" ht="18" customHeight="1">
      <c r="B142" s="265" t="s">
        <v>353</v>
      </c>
      <c r="C142" s="146"/>
      <c r="D142" s="566"/>
      <c r="E142" s="567"/>
      <c r="F142" s="568"/>
    </row>
    <row r="143" spans="2:6" ht="18" customHeight="1">
      <c r="B143" s="569" t="s">
        <v>354</v>
      </c>
      <c r="C143" s="570"/>
      <c r="D143" s="566" t="s">
        <v>267</v>
      </c>
      <c r="E143" s="567"/>
      <c r="F143" s="568"/>
    </row>
    <row r="144" spans="2:6" ht="18" customHeight="1">
      <c r="B144" s="569" t="s">
        <v>355</v>
      </c>
      <c r="C144" s="570"/>
      <c r="D144" s="566" t="s">
        <v>267</v>
      </c>
      <c r="E144" s="567"/>
      <c r="F144" s="568"/>
    </row>
    <row r="145" spans="2:6" ht="18" customHeight="1">
      <c r="B145" s="569" t="s">
        <v>356</v>
      </c>
      <c r="C145" s="570"/>
      <c r="D145" s="566" t="s">
        <v>267</v>
      </c>
      <c r="E145" s="567"/>
      <c r="F145" s="568"/>
    </row>
    <row r="146" spans="2:6" ht="18" customHeight="1">
      <c r="B146" s="569" t="s">
        <v>357</v>
      </c>
      <c r="C146" s="570"/>
      <c r="D146" s="566" t="s">
        <v>267</v>
      </c>
      <c r="E146" s="567"/>
      <c r="F146" s="568"/>
    </row>
    <row r="147" spans="2:6" ht="18" customHeight="1">
      <c r="B147" s="265" t="s">
        <v>358</v>
      </c>
      <c r="C147" s="149"/>
      <c r="D147" s="566"/>
      <c r="E147" s="567"/>
      <c r="F147" s="568"/>
    </row>
    <row r="148" spans="2:6" ht="18" customHeight="1">
      <c r="B148" s="569" t="s">
        <v>359</v>
      </c>
      <c r="C148" s="570"/>
      <c r="D148" s="566" t="s">
        <v>267</v>
      </c>
      <c r="E148" s="567"/>
      <c r="F148" s="568"/>
    </row>
    <row r="149" spans="2:6" ht="18" customHeight="1">
      <c r="B149" s="569" t="s">
        <v>360</v>
      </c>
      <c r="C149" s="570"/>
      <c r="D149" s="566" t="s">
        <v>267</v>
      </c>
      <c r="E149" s="567"/>
      <c r="F149" s="568"/>
    </row>
    <row r="150" spans="2:6" ht="18" customHeight="1">
      <c r="B150" s="569" t="s">
        <v>361</v>
      </c>
      <c r="C150" s="570"/>
      <c r="D150" s="566" t="s">
        <v>267</v>
      </c>
      <c r="E150" s="567"/>
      <c r="F150" s="568"/>
    </row>
    <row r="151" spans="2:6" ht="18" customHeight="1">
      <c r="B151" s="569" t="s">
        <v>362</v>
      </c>
      <c r="C151" s="570"/>
      <c r="D151" s="566" t="s">
        <v>267</v>
      </c>
      <c r="E151" s="567"/>
      <c r="F151" s="568"/>
    </row>
    <row r="152" spans="2:6" ht="25.5" customHeight="1">
      <c r="B152" s="569" t="s">
        <v>363</v>
      </c>
      <c r="C152" s="570"/>
      <c r="D152" s="566" t="s">
        <v>267</v>
      </c>
      <c r="E152" s="567"/>
      <c r="F152" s="568"/>
    </row>
    <row r="153" spans="2:6" ht="18" customHeight="1">
      <c r="B153" s="569" t="s">
        <v>364</v>
      </c>
      <c r="C153" s="570"/>
      <c r="D153" s="566" t="s">
        <v>267</v>
      </c>
      <c r="E153" s="567"/>
      <c r="F153" s="568"/>
    </row>
    <row r="154" spans="2:6" ht="18" customHeight="1">
      <c r="B154" s="569" t="s">
        <v>365</v>
      </c>
      <c r="C154" s="570"/>
      <c r="D154" s="566" t="s">
        <v>267</v>
      </c>
      <c r="E154" s="567"/>
      <c r="F154" s="568"/>
    </row>
    <row r="155" spans="2:6" ht="18" customHeight="1">
      <c r="B155" s="569" t="s">
        <v>366</v>
      </c>
      <c r="C155" s="570"/>
      <c r="D155" s="566" t="s">
        <v>267</v>
      </c>
      <c r="E155" s="567"/>
      <c r="F155" s="568"/>
    </row>
    <row r="156" spans="2:6" ht="18" customHeight="1">
      <c r="B156" s="569" t="s">
        <v>367</v>
      </c>
      <c r="C156" s="570"/>
      <c r="D156" s="566" t="s">
        <v>267</v>
      </c>
      <c r="E156" s="567"/>
      <c r="F156" s="568"/>
    </row>
    <row r="157" spans="2:6" ht="18" customHeight="1">
      <c r="B157" s="265" t="s">
        <v>368</v>
      </c>
      <c r="C157" s="146"/>
      <c r="D157" s="566"/>
      <c r="E157" s="567"/>
      <c r="F157" s="568"/>
    </row>
    <row r="158" spans="2:6" ht="27.6" customHeight="1">
      <c r="B158" s="569" t="s">
        <v>369</v>
      </c>
      <c r="C158" s="570"/>
      <c r="D158" s="566" t="s">
        <v>267</v>
      </c>
      <c r="E158" s="567"/>
      <c r="F158" s="568"/>
    </row>
    <row r="159" spans="2:6" ht="18" customHeight="1">
      <c r="B159" s="265" t="s">
        <v>370</v>
      </c>
      <c r="C159" s="149"/>
      <c r="D159" s="566"/>
      <c r="E159" s="567"/>
      <c r="F159" s="568"/>
    </row>
    <row r="160" spans="2:6" ht="18" customHeight="1">
      <c r="B160" s="569" t="s">
        <v>371</v>
      </c>
      <c r="C160" s="570"/>
      <c r="D160" s="566" t="s">
        <v>267</v>
      </c>
      <c r="E160" s="567"/>
      <c r="F160" s="568"/>
    </row>
    <row r="161" spans="1:8" ht="18" customHeight="1">
      <c r="B161" s="569" t="s">
        <v>372</v>
      </c>
      <c r="C161" s="570"/>
      <c r="D161" s="566" t="s">
        <v>267</v>
      </c>
      <c r="E161" s="567"/>
      <c r="F161" s="568"/>
    </row>
    <row r="162" spans="1:8" ht="18" customHeight="1">
      <c r="B162" s="265" t="s">
        <v>373</v>
      </c>
      <c r="C162" s="149"/>
      <c r="D162" s="566"/>
      <c r="E162" s="567"/>
      <c r="F162" s="568"/>
    </row>
    <row r="163" spans="1:8" ht="18" customHeight="1">
      <c r="B163" s="569" t="s">
        <v>374</v>
      </c>
      <c r="C163" s="571"/>
      <c r="D163" s="566"/>
      <c r="E163" s="567"/>
      <c r="F163" s="568"/>
    </row>
    <row r="164" spans="1:8" ht="18" customHeight="1">
      <c r="B164" s="569" t="s">
        <v>375</v>
      </c>
      <c r="C164" s="571"/>
      <c r="D164" s="566" t="s">
        <v>267</v>
      </c>
      <c r="E164" s="567"/>
      <c r="F164" s="568"/>
    </row>
    <row r="165" spans="1:8" s="147" customFormat="1" ht="26.25" customHeight="1">
      <c r="A165" s="127"/>
      <c r="B165" s="569" t="s">
        <v>376</v>
      </c>
      <c r="C165" s="571"/>
      <c r="D165" s="566" t="s">
        <v>267</v>
      </c>
      <c r="E165" s="567"/>
      <c r="F165" s="568"/>
      <c r="G165" s="40"/>
    </row>
    <row r="166" spans="1:8" ht="26.25" customHeight="1">
      <c r="B166" s="569" t="s">
        <v>377</v>
      </c>
      <c r="C166" s="571"/>
      <c r="D166" s="566" t="s">
        <v>267</v>
      </c>
      <c r="E166" s="567"/>
      <c r="F166" s="568"/>
    </row>
    <row r="167" spans="1:8" ht="18" customHeight="1">
      <c r="B167" s="569" t="s">
        <v>378</v>
      </c>
      <c r="C167" s="571"/>
      <c r="D167" s="566" t="s">
        <v>267</v>
      </c>
      <c r="E167" s="567"/>
      <c r="F167" s="568"/>
    </row>
    <row r="168" spans="1:8" ht="18" customHeight="1">
      <c r="B168" s="265" t="s">
        <v>379</v>
      </c>
      <c r="C168" s="149"/>
      <c r="D168" s="566"/>
      <c r="E168" s="567"/>
      <c r="F168" s="568"/>
    </row>
    <row r="169" spans="1:8" ht="26.25" customHeight="1">
      <c r="B169" s="569" t="s">
        <v>380</v>
      </c>
      <c r="C169" s="570"/>
      <c r="D169" s="566" t="s">
        <v>267</v>
      </c>
      <c r="E169" s="567"/>
      <c r="F169" s="568"/>
      <c r="H169"/>
    </row>
    <row r="170" spans="1:8" ht="26.25" customHeight="1">
      <c r="B170" s="569" t="s">
        <v>381</v>
      </c>
      <c r="C170" s="570"/>
      <c r="D170" s="566" t="s">
        <v>267</v>
      </c>
      <c r="E170" s="567"/>
      <c r="F170" s="568"/>
      <c r="H170"/>
    </row>
    <row r="171" spans="1:8" ht="26.1" customHeight="1">
      <c r="B171" s="569" t="s">
        <v>382</v>
      </c>
      <c r="C171" s="571"/>
      <c r="D171" s="566" t="s">
        <v>267</v>
      </c>
      <c r="E171" s="567"/>
      <c r="F171" s="568"/>
    </row>
    <row r="172" spans="1:8" ht="24" customHeight="1">
      <c r="B172" s="265" t="s">
        <v>383</v>
      </c>
      <c r="C172" s="149"/>
      <c r="D172" s="566"/>
      <c r="E172" s="567"/>
      <c r="F172" s="568"/>
    </row>
    <row r="173" spans="1:8" ht="18" customHeight="1">
      <c r="B173" s="569" t="s">
        <v>384</v>
      </c>
      <c r="C173" s="570"/>
      <c r="D173" s="566" t="s">
        <v>267</v>
      </c>
      <c r="E173" s="567"/>
      <c r="F173" s="568"/>
      <c r="H173" s="150"/>
    </row>
    <row r="174" spans="1:8" ht="22.95" customHeight="1">
      <c r="B174" s="265" t="s">
        <v>385</v>
      </c>
      <c r="C174" s="149"/>
      <c r="D174" s="566"/>
      <c r="E174" s="567"/>
      <c r="F174" s="568"/>
    </row>
    <row r="175" spans="1:8" ht="18" customHeight="1">
      <c r="B175" s="569" t="s">
        <v>386</v>
      </c>
      <c r="C175" s="570"/>
      <c r="D175" s="566" t="s">
        <v>267</v>
      </c>
      <c r="E175" s="567"/>
      <c r="F175" s="568"/>
      <c r="H175" s="151"/>
    </row>
    <row r="176" spans="1:8" ht="18" customHeight="1">
      <c r="B176" s="265" t="s">
        <v>387</v>
      </c>
      <c r="C176" s="146"/>
      <c r="D176" s="566"/>
      <c r="E176" s="567"/>
      <c r="F176" s="568"/>
    </row>
    <row r="177" spans="1:18" ht="18" customHeight="1">
      <c r="B177" s="569" t="s">
        <v>388</v>
      </c>
      <c r="C177" s="570"/>
      <c r="D177" s="566" t="s">
        <v>267</v>
      </c>
      <c r="E177" s="567"/>
      <c r="F177" s="568"/>
      <c r="H177" s="150"/>
      <c r="I177" s="147"/>
    </row>
    <row r="178" spans="1:18" ht="27" customHeight="1" thickBot="1">
      <c r="B178" s="554" t="s">
        <v>389</v>
      </c>
      <c r="C178" s="555"/>
      <c r="D178" s="556" t="s">
        <v>267</v>
      </c>
      <c r="E178" s="557"/>
      <c r="F178" s="558"/>
    </row>
    <row r="179" spans="1:18" ht="18" customHeight="1">
      <c r="A179" s="136"/>
      <c r="B179" s="559"/>
      <c r="C179" s="559"/>
      <c r="D179" s="40"/>
    </row>
    <row r="180" spans="1:18" ht="18" customHeight="1">
      <c r="A180" s="136"/>
      <c r="B180" s="152"/>
      <c r="C180" s="152"/>
      <c r="D180" s="40"/>
      <c r="H180" s="222" t="s">
        <v>448</v>
      </c>
      <c r="I180" s="153"/>
      <c r="J180" s="147" t="s">
        <v>391</v>
      </c>
    </row>
    <row r="181" spans="1:18" ht="18" customHeight="1">
      <c r="A181" s="136"/>
      <c r="B181" s="152"/>
      <c r="C181" s="152"/>
      <c r="D181" s="40"/>
      <c r="H181" s="154" t="s">
        <v>392</v>
      </c>
      <c r="I181" s="155"/>
      <c r="J181" s="156"/>
    </row>
    <row r="182" spans="1:18" ht="24.9" customHeight="1" thickBot="1">
      <c r="A182" s="136"/>
      <c r="B182" s="560" t="s">
        <v>258</v>
      </c>
      <c r="C182" s="560"/>
      <c r="D182" s="157"/>
      <c r="E182" s="157"/>
      <c r="F182" s="157"/>
      <c r="H182" s="158" t="s">
        <v>393</v>
      </c>
      <c r="I182" s="155"/>
      <c r="J182" s="156"/>
    </row>
    <row r="183" spans="1:18" ht="18" customHeight="1">
      <c r="A183" s="136"/>
      <c r="B183" s="159" t="s">
        <v>394</v>
      </c>
      <c r="C183" s="160">
        <f>+C48</f>
        <v>0</v>
      </c>
      <c r="D183" s="561" t="s">
        <v>395</v>
      </c>
      <c r="E183" s="562"/>
      <c r="F183" s="563"/>
      <c r="H183" s="158" t="s">
        <v>396</v>
      </c>
      <c r="I183" s="155"/>
      <c r="J183" s="161" t="s">
        <v>397</v>
      </c>
      <c r="K183" s="162"/>
      <c r="L183" s="163"/>
      <c r="M183" s="163"/>
      <c r="N183" s="163"/>
      <c r="O183" s="163"/>
      <c r="P183" s="163"/>
      <c r="Q183" s="163"/>
      <c r="R183" s="164"/>
    </row>
    <row r="184" spans="1:18" ht="18" customHeight="1">
      <c r="A184" s="136"/>
      <c r="B184" s="165" t="s">
        <v>263</v>
      </c>
      <c r="C184" s="564">
        <f>+C52</f>
        <v>0</v>
      </c>
      <c r="D184" s="564"/>
      <c r="E184" s="564"/>
      <c r="F184" s="565"/>
      <c r="H184" s="166" t="s">
        <v>398</v>
      </c>
      <c r="I184" s="167"/>
      <c r="J184" s="161" t="s">
        <v>397</v>
      </c>
      <c r="K184" s="168"/>
      <c r="L184" s="169"/>
      <c r="M184" s="169"/>
      <c r="N184" s="169"/>
      <c r="O184" s="169"/>
      <c r="P184" s="169"/>
      <c r="Q184" s="169"/>
      <c r="R184" s="170"/>
    </row>
    <row r="185" spans="1:18" ht="18" customHeight="1">
      <c r="A185" s="136"/>
      <c r="B185" s="171"/>
      <c r="C185" s="172"/>
      <c r="D185" s="173" t="s">
        <v>399</v>
      </c>
      <c r="E185" s="173" t="s">
        <v>400</v>
      </c>
      <c r="F185" s="174" t="s">
        <v>401</v>
      </c>
      <c r="H185" s="158" t="s">
        <v>402</v>
      </c>
      <c r="I185" s="155"/>
      <c r="J185" s="161" t="s">
        <v>397</v>
      </c>
      <c r="K185" s="168"/>
      <c r="L185" s="169"/>
      <c r="M185" s="169"/>
      <c r="N185" s="169"/>
      <c r="O185" s="169"/>
      <c r="P185" s="169"/>
      <c r="Q185" s="169"/>
      <c r="R185" s="170"/>
    </row>
    <row r="186" spans="1:18" ht="21.6" customHeight="1">
      <c r="A186" s="136"/>
      <c r="B186" s="552" t="s">
        <v>403</v>
      </c>
      <c r="C186" s="553"/>
      <c r="D186" s="184">
        <f>SUM(I189)</f>
        <v>0</v>
      </c>
      <c r="E186" s="266"/>
      <c r="F186" s="177">
        <f>SUM(E186-D186)</f>
        <v>0</v>
      </c>
      <c r="H186" s="178" t="s">
        <v>404</v>
      </c>
      <c r="I186" s="154"/>
    </row>
    <row r="187" spans="1:18" ht="18" customHeight="1">
      <c r="B187" s="544" t="s">
        <v>274</v>
      </c>
      <c r="C187" s="545"/>
      <c r="D187" s="545"/>
      <c r="E187" s="545"/>
      <c r="F187" s="546"/>
      <c r="H187" s="179"/>
      <c r="I187" s="180"/>
      <c r="J187" s="140"/>
    </row>
    <row r="188" spans="1:18" ht="18" customHeight="1">
      <c r="B188" s="547" t="s">
        <v>405</v>
      </c>
      <c r="C188" s="548"/>
      <c r="D188" s="267">
        <v>0</v>
      </c>
      <c r="E188" s="266"/>
      <c r="F188" s="177">
        <f t="shared" ref="F188:F194" si="0">SUM(E188-D188)</f>
        <v>0</v>
      </c>
      <c r="H188" s="154"/>
      <c r="I188" s="154"/>
    </row>
    <row r="189" spans="1:18" ht="18" customHeight="1">
      <c r="B189" s="547" t="s">
        <v>406</v>
      </c>
      <c r="C189" s="548"/>
      <c r="D189" s="267">
        <v>0</v>
      </c>
      <c r="E189" s="266"/>
      <c r="F189" s="177">
        <f t="shared" si="0"/>
        <v>0</v>
      </c>
      <c r="H189" s="178" t="s">
        <v>151</v>
      </c>
      <c r="I189" s="178">
        <f>SUM(I181:I188)</f>
        <v>0</v>
      </c>
    </row>
    <row r="190" spans="1:18" ht="18" customHeight="1">
      <c r="B190" s="547" t="s">
        <v>407</v>
      </c>
      <c r="C190" s="548"/>
      <c r="D190" s="267">
        <v>0</v>
      </c>
      <c r="E190" s="266"/>
      <c r="F190" s="177">
        <f t="shared" si="0"/>
        <v>0</v>
      </c>
      <c r="G190" s="144"/>
    </row>
    <row r="191" spans="1:18" ht="18" customHeight="1">
      <c r="B191" s="547" t="s">
        <v>408</v>
      </c>
      <c r="C191" s="548"/>
      <c r="D191" s="267">
        <v>0</v>
      </c>
      <c r="E191" s="266"/>
      <c r="F191" s="177">
        <f t="shared" si="0"/>
        <v>0</v>
      </c>
    </row>
    <row r="192" spans="1:18" ht="18" customHeight="1">
      <c r="B192" s="547" t="s">
        <v>409</v>
      </c>
      <c r="C192" s="548"/>
      <c r="D192" s="267">
        <v>0</v>
      </c>
      <c r="E192" s="266"/>
      <c r="F192" s="177">
        <f>SUM(E192-D192)</f>
        <v>0</v>
      </c>
      <c r="I192" s="147"/>
      <c r="J192" s="147"/>
      <c r="K192" s="147"/>
      <c r="L192" s="147"/>
      <c r="M192" s="147"/>
      <c r="N192" s="147"/>
      <c r="O192" s="147"/>
      <c r="P192" s="147"/>
      <c r="Q192" s="147"/>
      <c r="R192" s="147"/>
    </row>
    <row r="193" spans="1:18" ht="18" customHeight="1">
      <c r="B193" s="547" t="s">
        <v>410</v>
      </c>
      <c r="C193" s="548"/>
      <c r="D193" s="267">
        <v>500</v>
      </c>
      <c r="E193" s="266"/>
      <c r="F193" s="177">
        <f t="shared" si="0"/>
        <v>-500</v>
      </c>
      <c r="H193" s="147" t="e">
        <f>+#REF!</f>
        <v>#REF!</v>
      </c>
      <c r="I193" s="147"/>
      <c r="J193" s="147"/>
      <c r="K193" s="147"/>
      <c r="L193" s="147"/>
      <c r="M193" s="147"/>
      <c r="N193" s="147"/>
      <c r="O193" s="147"/>
      <c r="P193" s="147"/>
      <c r="Q193" s="147"/>
      <c r="R193" s="147"/>
    </row>
    <row r="194" spans="1:18" ht="18" customHeight="1">
      <c r="B194" s="547" t="s">
        <v>411</v>
      </c>
      <c r="C194" s="548"/>
      <c r="D194" s="267">
        <v>0</v>
      </c>
      <c r="E194" s="266"/>
      <c r="F194" s="177">
        <f t="shared" si="0"/>
        <v>0</v>
      </c>
    </row>
    <row r="195" spans="1:18" ht="18" customHeight="1">
      <c r="B195" s="544" t="s">
        <v>280</v>
      </c>
      <c r="C195" s="545"/>
      <c r="D195" s="545"/>
      <c r="E195" s="545"/>
      <c r="F195" s="546"/>
    </row>
    <row r="196" spans="1:18" ht="37.5" customHeight="1">
      <c r="B196" s="547" t="s">
        <v>412</v>
      </c>
      <c r="C196" s="548"/>
      <c r="D196" s="267">
        <v>0</v>
      </c>
      <c r="E196" s="266"/>
      <c r="F196" s="177">
        <f>SUM(E196-D196)</f>
        <v>0</v>
      </c>
    </row>
    <row r="197" spans="1:18" ht="18" customHeight="1">
      <c r="B197" s="544" t="s">
        <v>413</v>
      </c>
      <c r="C197" s="545"/>
      <c r="D197" s="545"/>
      <c r="E197" s="545"/>
      <c r="F197" s="546"/>
    </row>
    <row r="198" spans="1:18" ht="27" customHeight="1">
      <c r="B198" s="547" t="s">
        <v>414</v>
      </c>
      <c r="C198" s="548"/>
      <c r="D198" s="267">
        <f>+'Site Costs'!D24</f>
        <v>2200</v>
      </c>
      <c r="E198" s="266"/>
      <c r="F198" s="177">
        <f>SUM(E198-D198)</f>
        <v>-2200</v>
      </c>
    </row>
    <row r="199" spans="1:18" ht="18" customHeight="1">
      <c r="B199" s="544" t="s">
        <v>415</v>
      </c>
      <c r="C199" s="545"/>
      <c r="D199" s="545"/>
      <c r="E199" s="545"/>
      <c r="F199" s="546"/>
    </row>
    <row r="200" spans="1:18" ht="27" customHeight="1">
      <c r="B200" s="547" t="s">
        <v>416</v>
      </c>
      <c r="C200" s="548"/>
      <c r="D200" s="267" t="s">
        <v>417</v>
      </c>
      <c r="E200" s="266"/>
      <c r="F200" s="182" t="s">
        <v>417</v>
      </c>
    </row>
    <row r="201" spans="1:18" ht="18" customHeight="1">
      <c r="B201" s="549" t="s">
        <v>418</v>
      </c>
      <c r="C201" s="550"/>
      <c r="D201" s="550"/>
      <c r="E201" s="550"/>
      <c r="F201" s="551"/>
    </row>
    <row r="202" spans="1:18" ht="18" customHeight="1">
      <c r="B202" s="544" t="s">
        <v>290</v>
      </c>
      <c r="C202" s="545"/>
      <c r="D202" s="545"/>
      <c r="E202" s="545"/>
      <c r="F202" s="546"/>
    </row>
    <row r="203" spans="1:18" s="21" customFormat="1" ht="18" customHeight="1">
      <c r="A203" s="268"/>
      <c r="B203" s="541" t="s">
        <v>480</v>
      </c>
      <c r="C203" s="542"/>
      <c r="D203" s="269" t="e">
        <f>+CEILING((#REF!*8.25)+(5*(#REF!+#REF!)+#REF!+4000),10)</f>
        <v>#REF!</v>
      </c>
      <c r="E203" s="270"/>
      <c r="F203" s="270" t="e">
        <f t="shared" ref="F203:F214" si="1">SUM(E203-D203)</f>
        <v>#REF!</v>
      </c>
    </row>
    <row r="204" spans="1:18" s="21" customFormat="1" ht="18" customHeight="1">
      <c r="A204" s="268"/>
      <c r="B204" s="541" t="s">
        <v>481</v>
      </c>
      <c r="C204" s="542"/>
      <c r="D204" s="269">
        <v>3500</v>
      </c>
      <c r="E204" s="270"/>
      <c r="F204" s="270">
        <f t="shared" si="1"/>
        <v>-3500</v>
      </c>
    </row>
    <row r="205" spans="1:18" s="94" customFormat="1" ht="18" customHeight="1">
      <c r="A205" s="268"/>
      <c r="B205" s="532" t="s">
        <v>482</v>
      </c>
      <c r="C205" s="543"/>
      <c r="D205" s="269" t="e">
        <f>+#REF!</f>
        <v>#REF!</v>
      </c>
      <c r="E205" s="270"/>
      <c r="F205" s="270" t="e">
        <f t="shared" si="1"/>
        <v>#REF!</v>
      </c>
    </row>
    <row r="206" spans="1:18" s="21" customFormat="1" ht="18" customHeight="1">
      <c r="A206" s="268"/>
      <c r="B206" s="532" t="s">
        <v>483</v>
      </c>
      <c r="C206" s="533"/>
      <c r="D206" s="269">
        <v>405</v>
      </c>
      <c r="E206" s="270"/>
      <c r="F206" s="270">
        <f>SUM(E206-D206)</f>
        <v>-405</v>
      </c>
    </row>
    <row r="207" spans="1:18" s="94" customFormat="1" ht="18" customHeight="1">
      <c r="A207" s="268"/>
      <c r="B207" s="532" t="s">
        <v>484</v>
      </c>
      <c r="C207" s="543"/>
      <c r="D207" s="269">
        <v>3900</v>
      </c>
      <c r="E207" s="270"/>
      <c r="F207" s="270">
        <f t="shared" si="1"/>
        <v>-3900</v>
      </c>
    </row>
    <row r="208" spans="1:18" s="21" customFormat="1" ht="18" customHeight="1">
      <c r="A208" s="268"/>
      <c r="B208" s="541" t="s">
        <v>485</v>
      </c>
      <c r="C208" s="542"/>
      <c r="D208" s="269" t="e">
        <f>+#REF!-#REF!</f>
        <v>#REF!</v>
      </c>
      <c r="E208" s="270"/>
      <c r="F208" s="270" t="e">
        <f>SUM(E208-D208)</f>
        <v>#REF!</v>
      </c>
    </row>
    <row r="209" spans="1:8" s="21" customFormat="1" ht="18" customHeight="1">
      <c r="A209" s="268"/>
      <c r="B209" s="541" t="s">
        <v>486</v>
      </c>
      <c r="C209" s="542"/>
      <c r="D209" s="269" t="e">
        <f>+#REF!</f>
        <v>#REF!</v>
      </c>
      <c r="E209" s="270"/>
      <c r="F209" s="270" t="e">
        <f>SUM(E209-D209)</f>
        <v>#REF!</v>
      </c>
    </row>
    <row r="210" spans="1:8" s="21" customFormat="1" ht="18" customHeight="1">
      <c r="A210" s="268"/>
      <c r="B210" s="541" t="s">
        <v>487</v>
      </c>
      <c r="C210" s="542"/>
      <c r="D210" s="269" t="e">
        <f>+#REF!*2-#REF!</f>
        <v>#REF!</v>
      </c>
      <c r="E210" s="270"/>
      <c r="F210" s="270" t="e">
        <f t="shared" si="1"/>
        <v>#REF!</v>
      </c>
    </row>
    <row r="211" spans="1:8" s="21" customFormat="1" ht="18" customHeight="1">
      <c r="A211" s="268"/>
      <c r="B211" s="541" t="s">
        <v>488</v>
      </c>
      <c r="C211" s="542"/>
      <c r="D211" s="269" t="e">
        <f>+#REF!-#REF!</f>
        <v>#REF!</v>
      </c>
      <c r="E211" s="270"/>
      <c r="F211" s="270" t="e">
        <f t="shared" si="1"/>
        <v>#REF!</v>
      </c>
    </row>
    <row r="212" spans="1:8" s="21" customFormat="1" ht="18" customHeight="1">
      <c r="A212" s="268"/>
      <c r="B212" s="541" t="s">
        <v>489</v>
      </c>
      <c r="C212" s="542"/>
      <c r="D212" s="269" t="e">
        <f>+#REF!-#REF!</f>
        <v>#REF!</v>
      </c>
      <c r="E212" s="270"/>
      <c r="F212" s="270" t="e">
        <f t="shared" si="1"/>
        <v>#REF!</v>
      </c>
    </row>
    <row r="213" spans="1:8" s="21" customFormat="1" ht="18" customHeight="1">
      <c r="A213" s="268"/>
      <c r="B213" s="541" t="s">
        <v>490</v>
      </c>
      <c r="C213" s="542"/>
      <c r="D213" s="269" t="e">
        <f>+#REF!-#REF!</f>
        <v>#REF!</v>
      </c>
      <c r="E213" s="270"/>
      <c r="F213" s="270" t="e">
        <f t="shared" si="1"/>
        <v>#REF!</v>
      </c>
    </row>
    <row r="214" spans="1:8" s="21" customFormat="1" ht="18" customHeight="1">
      <c r="A214" s="268"/>
      <c r="B214" s="541" t="s">
        <v>491</v>
      </c>
      <c r="C214" s="542"/>
      <c r="D214" s="269" t="e">
        <f>+D210</f>
        <v>#REF!</v>
      </c>
      <c r="E214" s="270"/>
      <c r="F214" s="270" t="e">
        <f t="shared" si="1"/>
        <v>#REF!</v>
      </c>
      <c r="G214" s="273" t="e">
        <f>SUM(D203:D214)</f>
        <v>#REF!</v>
      </c>
      <c r="H214" s="21" t="s">
        <v>492</v>
      </c>
    </row>
    <row r="215" spans="1:8" ht="18" customHeight="1">
      <c r="B215" s="544" t="s">
        <v>292</v>
      </c>
      <c r="C215" s="545"/>
      <c r="D215" s="545"/>
      <c r="E215" s="545"/>
      <c r="F215" s="546"/>
    </row>
    <row r="216" spans="1:8" s="21" customFormat="1" ht="18" customHeight="1">
      <c r="A216" s="268"/>
      <c r="B216" s="541" t="s">
        <v>493</v>
      </c>
      <c r="C216" s="542"/>
      <c r="D216" s="269" t="e">
        <f>+CEILING(#REF!*260,10)</f>
        <v>#REF!</v>
      </c>
      <c r="E216" s="270"/>
      <c r="F216" s="270" t="e">
        <f>SUM(E216-D216)</f>
        <v>#REF!</v>
      </c>
    </row>
    <row r="217" spans="1:8" s="94" customFormat="1" ht="18" customHeight="1">
      <c r="A217" s="268"/>
      <c r="B217" s="532" t="s">
        <v>494</v>
      </c>
      <c r="C217" s="543"/>
      <c r="D217" s="269" t="e">
        <f>8*#REF!+#REF!*15</f>
        <v>#REF!</v>
      </c>
      <c r="E217" s="270"/>
      <c r="F217" s="270" t="e">
        <f>SUM(E217-D217)</f>
        <v>#REF!</v>
      </c>
    </row>
    <row r="218" spans="1:8" s="147" customFormat="1" ht="18" customHeight="1">
      <c r="A218" s="127"/>
      <c r="B218" s="544" t="s">
        <v>419</v>
      </c>
      <c r="C218" s="545"/>
      <c r="D218" s="545"/>
      <c r="E218" s="545"/>
      <c r="F218" s="546"/>
    </row>
    <row r="219" spans="1:8" s="21" customFormat="1" ht="18" customHeight="1">
      <c r="A219" s="268"/>
      <c r="B219" s="541" t="s">
        <v>495</v>
      </c>
      <c r="C219" s="542"/>
      <c r="D219" s="269" t="e">
        <f>16*#REF!</f>
        <v>#REF!</v>
      </c>
      <c r="E219" s="270"/>
      <c r="F219" s="270" t="e">
        <f>SUM(E219-D219)</f>
        <v>#REF!</v>
      </c>
    </row>
    <row r="220" spans="1:8" s="21" customFormat="1" ht="18" customHeight="1">
      <c r="A220" s="274"/>
      <c r="B220" s="275" t="s">
        <v>757</v>
      </c>
      <c r="C220" s="276"/>
      <c r="D220" s="277"/>
      <c r="E220" s="270"/>
      <c r="F220" s="270"/>
    </row>
    <row r="221" spans="1:8" s="94" customFormat="1" ht="26.1" customHeight="1">
      <c r="A221" s="268"/>
      <c r="B221" s="532" t="s">
        <v>758</v>
      </c>
      <c r="C221" s="543"/>
      <c r="D221" s="269">
        <v>8500</v>
      </c>
      <c r="E221" s="270"/>
      <c r="F221" s="270">
        <f>SUM(E221-D221)</f>
        <v>-8500</v>
      </c>
    </row>
    <row r="222" spans="1:8" s="21" customFormat="1" ht="27.15" customHeight="1">
      <c r="A222" s="268"/>
      <c r="B222" s="541" t="s">
        <v>759</v>
      </c>
      <c r="C222" s="542"/>
      <c r="D222" s="269">
        <v>4350</v>
      </c>
      <c r="E222" s="270"/>
      <c r="F222" s="270">
        <f>SUM(E222-D222)</f>
        <v>-4350</v>
      </c>
    </row>
    <row r="223" spans="1:8" ht="18" customHeight="1">
      <c r="B223" s="544" t="s">
        <v>420</v>
      </c>
      <c r="C223" s="545"/>
      <c r="D223" s="545"/>
      <c r="E223" s="545"/>
      <c r="F223" s="546"/>
    </row>
    <row r="224" spans="1:8" s="21" customFormat="1" ht="18" customHeight="1">
      <c r="A224" s="268"/>
      <c r="B224" s="541" t="s">
        <v>496</v>
      </c>
      <c r="C224" s="542"/>
      <c r="D224" s="269">
        <v>1315</v>
      </c>
      <c r="E224" s="270"/>
      <c r="F224" s="270">
        <f>SUM(E224-D224)</f>
        <v>-1315</v>
      </c>
    </row>
    <row r="225" spans="1:6" s="21" customFormat="1" ht="18" customHeight="1">
      <c r="A225" s="268"/>
      <c r="B225" s="541" t="s">
        <v>497</v>
      </c>
      <c r="C225" s="542"/>
      <c r="D225" s="269">
        <v>700</v>
      </c>
      <c r="E225" s="270"/>
      <c r="F225" s="270">
        <f>SUM(E225-D225)</f>
        <v>-700</v>
      </c>
    </row>
    <row r="226" spans="1:6" s="94" customFormat="1" ht="27.15" customHeight="1">
      <c r="A226" s="268"/>
      <c r="B226" s="532" t="s">
        <v>498</v>
      </c>
      <c r="C226" s="543"/>
      <c r="D226" s="269">
        <f>72*15</f>
        <v>1080</v>
      </c>
      <c r="E226" s="270"/>
      <c r="F226" s="270">
        <f>SUM(E226-D226)</f>
        <v>-1080</v>
      </c>
    </row>
    <row r="227" spans="1:6" s="94" customFormat="1" ht="26.1" customHeight="1">
      <c r="A227" s="268"/>
      <c r="B227" s="532" t="s">
        <v>499</v>
      </c>
      <c r="C227" s="543"/>
      <c r="D227" s="269">
        <v>250</v>
      </c>
      <c r="E227" s="270"/>
      <c r="F227" s="270">
        <f>SUM(E227-D227)</f>
        <v>-250</v>
      </c>
    </row>
    <row r="228" spans="1:6" s="94" customFormat="1" ht="18" customHeight="1">
      <c r="A228" s="268"/>
      <c r="B228" s="532" t="s">
        <v>500</v>
      </c>
      <c r="C228" s="543"/>
      <c r="D228" s="269">
        <f>400*3</f>
        <v>1200</v>
      </c>
      <c r="E228" s="270"/>
      <c r="F228" s="270">
        <f>SUM(E228-D228)</f>
        <v>-1200</v>
      </c>
    </row>
    <row r="229" spans="1:6" s="21" customFormat="1" ht="18" customHeight="1">
      <c r="A229" s="274"/>
      <c r="B229" s="275" t="s">
        <v>530</v>
      </c>
      <c r="C229" s="276"/>
      <c r="D229" s="277"/>
      <c r="E229" s="270"/>
      <c r="F229" s="270"/>
    </row>
    <row r="230" spans="1:6" s="21" customFormat="1" ht="18" customHeight="1">
      <c r="A230" s="268"/>
      <c r="B230" s="541" t="s">
        <v>531</v>
      </c>
      <c r="C230" s="542"/>
      <c r="D230" s="269">
        <v>250</v>
      </c>
      <c r="E230" s="270"/>
      <c r="F230" s="270">
        <f>SUM(E230-D230)</f>
        <v>-250</v>
      </c>
    </row>
    <row r="231" spans="1:6" s="21" customFormat="1" ht="26.1" customHeight="1">
      <c r="A231" s="268"/>
      <c r="B231" s="541" t="s">
        <v>532</v>
      </c>
      <c r="C231" s="542"/>
      <c r="D231" s="269">
        <v>1995</v>
      </c>
      <c r="E231" s="270"/>
      <c r="F231" s="270">
        <f>SUM(E231-D231)</f>
        <v>-1995</v>
      </c>
    </row>
    <row r="232" spans="1:6" s="21" customFormat="1" ht="26.1" customHeight="1">
      <c r="A232" s="268"/>
      <c r="B232" s="541" t="s">
        <v>533</v>
      </c>
      <c r="C232" s="542"/>
      <c r="D232" s="269">
        <v>1390</v>
      </c>
      <c r="E232" s="270"/>
      <c r="F232" s="270">
        <f>SUM(E232-D232)</f>
        <v>-1390</v>
      </c>
    </row>
    <row r="233" spans="1:6" s="21" customFormat="1" ht="26.1" customHeight="1">
      <c r="A233" s="268"/>
      <c r="B233" s="541" t="s">
        <v>534</v>
      </c>
      <c r="C233" s="542"/>
      <c r="D233" s="269">
        <v>1940</v>
      </c>
      <c r="E233" s="270"/>
      <c r="F233" s="270">
        <f>SUM(E233-D233)</f>
        <v>-1940</v>
      </c>
    </row>
    <row r="234" spans="1:6" s="21" customFormat="1" ht="18" customHeight="1">
      <c r="A234" s="268"/>
      <c r="B234" s="541" t="s">
        <v>535</v>
      </c>
      <c r="C234" s="542"/>
      <c r="D234" s="269">
        <v>2400</v>
      </c>
      <c r="E234" s="270"/>
      <c r="F234" s="270">
        <f>SUM(E234-D234)</f>
        <v>-2400</v>
      </c>
    </row>
    <row r="235" spans="1:6" s="21" customFormat="1" ht="18" customHeight="1">
      <c r="A235" s="274"/>
      <c r="B235" s="275" t="s">
        <v>536</v>
      </c>
      <c r="C235" s="276"/>
      <c r="D235" s="277"/>
      <c r="E235" s="270"/>
      <c r="F235" s="270"/>
    </row>
    <row r="236" spans="1:6" s="21" customFormat="1" ht="18" customHeight="1">
      <c r="A236" s="268"/>
      <c r="B236" s="541" t="s">
        <v>537</v>
      </c>
      <c r="C236" s="542"/>
      <c r="D236" s="269">
        <v>6950</v>
      </c>
      <c r="E236" s="270"/>
      <c r="F236" s="270">
        <f>SUM(E236-D236)</f>
        <v>-6950</v>
      </c>
    </row>
    <row r="237" spans="1:6" s="21" customFormat="1" ht="18" customHeight="1">
      <c r="A237" s="268"/>
      <c r="B237" s="275" t="s">
        <v>324</v>
      </c>
      <c r="C237" s="272"/>
      <c r="D237" s="269"/>
      <c r="E237" s="270"/>
      <c r="F237" s="270"/>
    </row>
    <row r="238" spans="1:6" s="21" customFormat="1" ht="26.1" customHeight="1">
      <c r="A238" s="268"/>
      <c r="B238" s="532" t="s">
        <v>538</v>
      </c>
      <c r="C238" s="533"/>
      <c r="D238" s="269" t="e">
        <f>+(27+27)*#REF!+27*#REF!</f>
        <v>#REF!</v>
      </c>
      <c r="E238" s="270"/>
      <c r="F238" s="270" t="e">
        <f>SUM(E238-D238)</f>
        <v>#REF!</v>
      </c>
    </row>
    <row r="239" spans="1:6" s="21" customFormat="1" ht="26.1" customHeight="1">
      <c r="A239" s="268"/>
      <c r="B239" s="532" t="s">
        <v>539</v>
      </c>
      <c r="C239" s="533"/>
      <c r="D239" s="269" t="e">
        <f>2*#REF!</f>
        <v>#REF!</v>
      </c>
      <c r="E239" s="270"/>
      <c r="F239" s="270" t="e">
        <f>SUM(E239-D239)</f>
        <v>#REF!</v>
      </c>
    </row>
    <row r="240" spans="1:6" s="21" customFormat="1" ht="26.1" customHeight="1">
      <c r="A240" s="268"/>
      <c r="B240" s="532" t="s">
        <v>540</v>
      </c>
      <c r="C240" s="533"/>
      <c r="D240" s="269">
        <v>2725</v>
      </c>
      <c r="E240" s="270"/>
      <c r="F240" s="270">
        <f>SUM(E240-D240)</f>
        <v>-2725</v>
      </c>
    </row>
    <row r="241" spans="1:9" s="21" customFormat="1" ht="18" customHeight="1">
      <c r="A241" s="268"/>
      <c r="B241" s="532" t="s">
        <v>541</v>
      </c>
      <c r="C241" s="533"/>
      <c r="D241" s="269">
        <v>7600</v>
      </c>
      <c r="E241" s="270"/>
      <c r="F241" s="270">
        <f>SUM(E241-D241)</f>
        <v>-7600</v>
      </c>
    </row>
    <row r="242" spans="1:9" s="21" customFormat="1" ht="18" customHeight="1">
      <c r="A242" s="268"/>
      <c r="B242" s="532" t="s">
        <v>542</v>
      </c>
      <c r="C242" s="533"/>
      <c r="D242" s="269" t="e">
        <f>+#REF!+#REF!</f>
        <v>#REF!</v>
      </c>
      <c r="E242" s="270"/>
      <c r="F242" s="270" t="e">
        <f t="shared" ref="F242:F251" si="2">SUM(E242-D242)</f>
        <v>#REF!</v>
      </c>
    </row>
    <row r="243" spans="1:9" s="21" customFormat="1" ht="18" customHeight="1">
      <c r="A243" s="268"/>
      <c r="B243" s="532" t="s">
        <v>543</v>
      </c>
      <c r="C243" s="533"/>
      <c r="D243" s="269">
        <v>200</v>
      </c>
      <c r="E243" s="270"/>
      <c r="F243" s="270">
        <f t="shared" si="2"/>
        <v>-200</v>
      </c>
      <c r="I243" s="94" t="s">
        <v>544</v>
      </c>
    </row>
    <row r="244" spans="1:9" s="21" customFormat="1" ht="18" customHeight="1">
      <c r="A244" s="268"/>
      <c r="B244" s="532" t="s">
        <v>545</v>
      </c>
      <c r="C244" s="533"/>
      <c r="D244" s="269" t="s">
        <v>267</v>
      </c>
      <c r="E244" s="270"/>
      <c r="F244" s="270">
        <v>0</v>
      </c>
    </row>
    <row r="245" spans="1:9" s="21" customFormat="1" ht="18" customHeight="1">
      <c r="A245" s="268"/>
      <c r="B245" s="532" t="s">
        <v>546</v>
      </c>
      <c r="C245" s="533"/>
      <c r="D245" s="269" t="e">
        <f>+#REF!*2</f>
        <v>#REF!</v>
      </c>
      <c r="E245" s="270"/>
      <c r="F245" s="270" t="e">
        <f t="shared" si="2"/>
        <v>#REF!</v>
      </c>
    </row>
    <row r="246" spans="1:9" s="21" customFormat="1" ht="18" customHeight="1">
      <c r="A246" s="268"/>
      <c r="B246" s="532" t="s">
        <v>547</v>
      </c>
      <c r="C246" s="533"/>
      <c r="D246" s="269" t="e">
        <f>+#REF!</f>
        <v>#REF!</v>
      </c>
      <c r="E246" s="270"/>
      <c r="F246" s="270" t="e">
        <f>SUM(E246-D246)</f>
        <v>#REF!</v>
      </c>
    </row>
    <row r="247" spans="1:9" s="21" customFormat="1" ht="18" customHeight="1">
      <c r="A247" s="268"/>
      <c r="B247" s="532" t="s">
        <v>548</v>
      </c>
      <c r="C247" s="533"/>
      <c r="D247" s="269" t="e">
        <f>+#REF!</f>
        <v>#REF!</v>
      </c>
      <c r="E247" s="270"/>
      <c r="F247" s="270" t="e">
        <f t="shared" si="2"/>
        <v>#REF!</v>
      </c>
    </row>
    <row r="248" spans="1:9" s="21" customFormat="1" ht="18" customHeight="1">
      <c r="A248" s="268"/>
      <c r="B248" s="532" t="s">
        <v>549</v>
      </c>
      <c r="C248" s="533"/>
      <c r="D248" s="269">
        <v>1000</v>
      </c>
      <c r="E248" s="270"/>
      <c r="F248" s="270">
        <f>SUM(E248-D248)</f>
        <v>-1000</v>
      </c>
    </row>
    <row r="249" spans="1:9" s="21" customFormat="1" ht="39.9" customHeight="1">
      <c r="A249" s="268"/>
      <c r="B249" s="532" t="s">
        <v>550</v>
      </c>
      <c r="C249" s="533"/>
      <c r="D249" s="269" t="e">
        <f>+#REF!+#REF!+#REF!-#REF!-#REF!-#REF!</f>
        <v>#REF!</v>
      </c>
      <c r="E249" s="270"/>
      <c r="F249" s="270" t="e">
        <f t="shared" si="2"/>
        <v>#REF!</v>
      </c>
    </row>
    <row r="250" spans="1:9" s="21" customFormat="1" ht="18" customHeight="1">
      <c r="A250" s="268"/>
      <c r="B250" s="532" t="s">
        <v>551</v>
      </c>
      <c r="C250" s="533"/>
      <c r="D250" s="269" t="e">
        <f>+#REF!-#REF!</f>
        <v>#REF!</v>
      </c>
      <c r="E250" s="270"/>
      <c r="F250" s="270" t="e">
        <f t="shared" si="2"/>
        <v>#REF!</v>
      </c>
    </row>
    <row r="251" spans="1:9" s="21" customFormat="1" ht="18" customHeight="1">
      <c r="A251" s="268"/>
      <c r="B251" s="532" t="s">
        <v>552</v>
      </c>
      <c r="C251" s="533"/>
      <c r="D251" s="269">
        <v>65</v>
      </c>
      <c r="E251" s="270"/>
      <c r="F251" s="270">
        <f t="shared" si="2"/>
        <v>-65</v>
      </c>
    </row>
    <row r="252" spans="1:9" s="21" customFormat="1" ht="18" customHeight="1">
      <c r="A252" s="268"/>
      <c r="B252" s="532" t="s">
        <v>553</v>
      </c>
      <c r="C252" s="533"/>
      <c r="D252" s="269" t="e">
        <f>+#REF!-#REF!</f>
        <v>#REF!</v>
      </c>
      <c r="E252" s="270"/>
      <c r="F252" s="270" t="e">
        <f>SUM(E252-D252)</f>
        <v>#REF!</v>
      </c>
    </row>
    <row r="253" spans="1:9" s="21" customFormat="1" ht="18" customHeight="1">
      <c r="A253" s="268"/>
      <c r="B253" s="275" t="s">
        <v>554</v>
      </c>
      <c r="C253" s="272"/>
      <c r="D253" s="269"/>
      <c r="E253" s="270"/>
      <c r="F253" s="270"/>
    </row>
    <row r="254" spans="1:9" s="21" customFormat="1" ht="18" customHeight="1">
      <c r="A254" s="268"/>
      <c r="B254" s="532" t="s">
        <v>555</v>
      </c>
      <c r="C254" s="533"/>
      <c r="D254" s="269" t="e">
        <f>15*#REF!</f>
        <v>#REF!</v>
      </c>
      <c r="E254" s="270"/>
      <c r="F254" s="270" t="e">
        <f t="shared" ref="F254:F259" si="3">SUM(E254-D254)</f>
        <v>#REF!</v>
      </c>
      <c r="G254" s="278"/>
    </row>
    <row r="255" spans="1:9" s="21" customFormat="1" ht="18" customHeight="1">
      <c r="A255" s="268"/>
      <c r="B255" s="532" t="s">
        <v>556</v>
      </c>
      <c r="C255" s="533"/>
      <c r="D255" s="269" t="e">
        <f>+D246</f>
        <v>#REF!</v>
      </c>
      <c r="E255" s="270"/>
      <c r="F255" s="270" t="e">
        <f t="shared" si="3"/>
        <v>#REF!</v>
      </c>
      <c r="G255" s="278"/>
    </row>
    <row r="256" spans="1:9" s="21" customFormat="1" ht="18" customHeight="1">
      <c r="A256" s="268"/>
      <c r="B256" s="532" t="s">
        <v>557</v>
      </c>
      <c r="C256" s="533"/>
      <c r="D256" s="269">
        <v>325</v>
      </c>
      <c r="E256" s="270"/>
      <c r="F256" s="270">
        <f t="shared" si="3"/>
        <v>-325</v>
      </c>
      <c r="G256" s="278"/>
    </row>
    <row r="257" spans="1:9" s="21" customFormat="1" ht="26.1" customHeight="1">
      <c r="A257" s="268"/>
      <c r="B257" s="532" t="s">
        <v>558</v>
      </c>
      <c r="C257" s="533"/>
      <c r="D257" s="269" t="e">
        <f>15*#REF!</f>
        <v>#REF!</v>
      </c>
      <c r="E257" s="270"/>
      <c r="F257" s="270" t="e">
        <f t="shared" si="3"/>
        <v>#REF!</v>
      </c>
      <c r="G257" s="278"/>
    </row>
    <row r="258" spans="1:9" s="21" customFormat="1" ht="18" customHeight="1">
      <c r="A258" s="268"/>
      <c r="B258" s="532" t="s">
        <v>559</v>
      </c>
      <c r="C258" s="533"/>
      <c r="D258" s="269">
        <v>765</v>
      </c>
      <c r="E258" s="270"/>
      <c r="F258" s="270">
        <f t="shared" si="3"/>
        <v>-765</v>
      </c>
      <c r="G258" s="278"/>
    </row>
    <row r="259" spans="1:9" s="21" customFormat="1" ht="18" customHeight="1">
      <c r="A259" s="268"/>
      <c r="B259" s="541" t="s">
        <v>560</v>
      </c>
      <c r="C259" s="542"/>
      <c r="D259" s="269" t="e">
        <f>+#REF!</f>
        <v>#REF!</v>
      </c>
      <c r="E259" s="270"/>
      <c r="F259" s="270" t="e">
        <f t="shared" si="3"/>
        <v>#REF!</v>
      </c>
      <c r="G259" s="278"/>
    </row>
    <row r="260" spans="1:9" s="21" customFormat="1" ht="17.25" customHeight="1">
      <c r="A260" s="268"/>
      <c r="B260" s="275" t="s">
        <v>561</v>
      </c>
      <c r="C260" s="272"/>
      <c r="D260" s="269"/>
      <c r="E260" s="270"/>
      <c r="F260" s="270"/>
      <c r="G260" s="279"/>
    </row>
    <row r="261" spans="1:9" s="21" customFormat="1" ht="18" customHeight="1">
      <c r="A261" s="268"/>
      <c r="B261" s="541" t="s">
        <v>562</v>
      </c>
      <c r="C261" s="542"/>
      <c r="D261" s="269" t="e">
        <f>2*#REF!</f>
        <v>#REF!</v>
      </c>
      <c r="E261" s="270"/>
      <c r="F261" s="270" t="e">
        <f>SUM(E261-D261)</f>
        <v>#REF!</v>
      </c>
    </row>
    <row r="262" spans="1:9" s="21" customFormat="1" ht="17.25" customHeight="1">
      <c r="A262" s="268"/>
      <c r="B262" s="275" t="s">
        <v>421</v>
      </c>
      <c r="C262" s="272"/>
      <c r="D262" s="269"/>
      <c r="E262" s="270"/>
      <c r="F262" s="270"/>
    </row>
    <row r="263" spans="1:9" s="21" customFormat="1" ht="26.1" customHeight="1">
      <c r="A263" s="268"/>
      <c r="B263" s="532" t="s">
        <v>563</v>
      </c>
      <c r="C263" s="533"/>
      <c r="D263" s="269" t="e">
        <f>18*#REF!</f>
        <v>#REF!</v>
      </c>
      <c r="E263" s="270"/>
      <c r="F263" s="270" t="e">
        <f t="shared" ref="F263:F272" si="4">SUM(E263-D263)</f>
        <v>#REF!</v>
      </c>
    </row>
    <row r="264" spans="1:9" s="21" customFormat="1" ht="18" customHeight="1">
      <c r="A264" s="268"/>
      <c r="B264" s="532" t="s">
        <v>564</v>
      </c>
      <c r="C264" s="533"/>
      <c r="D264" s="269">
        <v>920</v>
      </c>
      <c r="E264" s="270"/>
      <c r="F264" s="270">
        <f t="shared" si="4"/>
        <v>-920</v>
      </c>
    </row>
    <row r="265" spans="1:9" s="21" customFormat="1" ht="18" customHeight="1">
      <c r="A265" s="268"/>
      <c r="B265" s="532" t="s">
        <v>565</v>
      </c>
      <c r="C265" s="533"/>
      <c r="D265" s="269">
        <v>110</v>
      </c>
      <c r="E265" s="270"/>
      <c r="F265" s="270">
        <f t="shared" si="4"/>
        <v>-110</v>
      </c>
    </row>
    <row r="266" spans="1:9" s="21" customFormat="1" ht="18" customHeight="1">
      <c r="A266" s="268"/>
      <c r="B266" s="532" t="s">
        <v>566</v>
      </c>
      <c r="C266" s="533"/>
      <c r="D266" s="269">
        <v>120</v>
      </c>
      <c r="E266" s="270"/>
      <c r="F266" s="270">
        <f t="shared" si="4"/>
        <v>-120</v>
      </c>
    </row>
    <row r="267" spans="1:9" s="21" customFormat="1" ht="26.1" customHeight="1">
      <c r="A267" s="268"/>
      <c r="B267" s="532" t="s">
        <v>567</v>
      </c>
      <c r="C267" s="533"/>
      <c r="D267" s="269">
        <v>240</v>
      </c>
      <c r="E267" s="270"/>
      <c r="F267" s="270">
        <f t="shared" si="4"/>
        <v>-240</v>
      </c>
    </row>
    <row r="268" spans="1:9" s="21" customFormat="1" ht="26.1" customHeight="1">
      <c r="A268" s="268"/>
      <c r="B268" s="532" t="s">
        <v>568</v>
      </c>
      <c r="C268" s="543"/>
      <c r="D268" s="269">
        <v>79</v>
      </c>
      <c r="E268" s="280"/>
      <c r="F268" s="270">
        <f t="shared" si="4"/>
        <v>-79</v>
      </c>
    </row>
    <row r="269" spans="1:9" s="94" customFormat="1" ht="26.1" customHeight="1">
      <c r="A269" s="268"/>
      <c r="B269" s="532" t="s">
        <v>569</v>
      </c>
      <c r="C269" s="543"/>
      <c r="D269" s="269">
        <v>300</v>
      </c>
      <c r="E269" s="270"/>
      <c r="F269" s="270">
        <f t="shared" si="4"/>
        <v>-300</v>
      </c>
    </row>
    <row r="270" spans="1:9" s="94" customFormat="1" ht="18" customHeight="1">
      <c r="A270" s="268"/>
      <c r="B270" s="532" t="s">
        <v>570</v>
      </c>
      <c r="C270" s="543"/>
      <c r="D270" s="269" t="s">
        <v>267</v>
      </c>
      <c r="E270" s="270"/>
      <c r="F270" s="270">
        <v>0</v>
      </c>
      <c r="I270" s="94" t="s">
        <v>571</v>
      </c>
    </row>
    <row r="271" spans="1:9" s="94" customFormat="1" ht="18" customHeight="1">
      <c r="A271" s="268"/>
      <c r="B271" s="532" t="s">
        <v>572</v>
      </c>
      <c r="C271" s="543"/>
      <c r="D271" s="269">
        <v>80</v>
      </c>
      <c r="E271" s="270"/>
      <c r="F271" s="270">
        <f t="shared" si="4"/>
        <v>-80</v>
      </c>
    </row>
    <row r="272" spans="1:9" s="94" customFormat="1" ht="18" customHeight="1">
      <c r="A272" s="268"/>
      <c r="B272" s="532" t="s">
        <v>573</v>
      </c>
      <c r="C272" s="543"/>
      <c r="D272" s="269" t="e">
        <f>14*#REF!</f>
        <v>#REF!</v>
      </c>
      <c r="E272" s="270"/>
      <c r="F272" s="270" t="e">
        <f t="shared" si="4"/>
        <v>#REF!</v>
      </c>
    </row>
    <row r="273" spans="1:7" s="94" customFormat="1" ht="18" customHeight="1">
      <c r="A273" s="268"/>
      <c r="B273" s="275" t="s">
        <v>574</v>
      </c>
      <c r="C273" s="271"/>
      <c r="D273" s="269"/>
      <c r="E273" s="270"/>
      <c r="F273" s="270"/>
    </row>
    <row r="274" spans="1:7" s="21" customFormat="1" ht="26.1" customHeight="1">
      <c r="A274" s="268"/>
      <c r="B274" s="532" t="s">
        <v>575</v>
      </c>
      <c r="C274" s="533"/>
      <c r="D274" s="269" t="e">
        <f>9*#REF!</f>
        <v>#REF!</v>
      </c>
      <c r="E274" s="270"/>
      <c r="F274" s="270" t="e">
        <f>SUM(E274-D274)</f>
        <v>#REF!</v>
      </c>
    </row>
    <row r="275" spans="1:7" s="21" customFormat="1" ht="18" customHeight="1">
      <c r="A275" s="268"/>
      <c r="B275" s="532" t="s">
        <v>576</v>
      </c>
      <c r="C275" s="533"/>
      <c r="D275" s="269">
        <v>460</v>
      </c>
      <c r="E275" s="270"/>
      <c r="F275" s="270">
        <f t="shared" ref="F275:F281" si="5">SUM(E275-D275)</f>
        <v>-460</v>
      </c>
    </row>
    <row r="276" spans="1:7" s="21" customFormat="1" ht="18" customHeight="1">
      <c r="A276" s="268"/>
      <c r="B276" s="532" t="s">
        <v>565</v>
      </c>
      <c r="C276" s="533"/>
      <c r="D276" s="269">
        <v>80</v>
      </c>
      <c r="E276" s="270"/>
      <c r="F276" s="270">
        <f t="shared" si="5"/>
        <v>-80</v>
      </c>
    </row>
    <row r="277" spans="1:7" s="21" customFormat="1" ht="18" customHeight="1">
      <c r="A277" s="268"/>
      <c r="B277" s="532" t="s">
        <v>577</v>
      </c>
      <c r="C277" s="533"/>
      <c r="D277" s="269">
        <v>60</v>
      </c>
      <c r="E277" s="270"/>
      <c r="F277" s="270">
        <f t="shared" si="5"/>
        <v>-60</v>
      </c>
    </row>
    <row r="278" spans="1:7" s="21" customFormat="1" ht="25.5" customHeight="1">
      <c r="A278" s="268"/>
      <c r="B278" s="532" t="s">
        <v>578</v>
      </c>
      <c r="C278" s="533"/>
      <c r="D278" s="269">
        <v>200</v>
      </c>
      <c r="E278" s="270"/>
      <c r="F278" s="270">
        <f t="shared" si="5"/>
        <v>-200</v>
      </c>
    </row>
    <row r="279" spans="1:7" s="21" customFormat="1" ht="26.1" customHeight="1">
      <c r="A279" s="268"/>
      <c r="B279" s="532" t="s">
        <v>568</v>
      </c>
      <c r="C279" s="543"/>
      <c r="D279" s="269">
        <v>79</v>
      </c>
      <c r="E279" s="280"/>
      <c r="F279" s="270">
        <f t="shared" si="5"/>
        <v>-79</v>
      </c>
    </row>
    <row r="280" spans="1:7" s="94" customFormat="1" ht="26.1" customHeight="1">
      <c r="A280" s="268"/>
      <c r="B280" s="532" t="s">
        <v>579</v>
      </c>
      <c r="C280" s="543"/>
      <c r="D280" s="269">
        <v>300</v>
      </c>
      <c r="E280" s="270"/>
      <c r="F280" s="270">
        <f t="shared" si="5"/>
        <v>-300</v>
      </c>
    </row>
    <row r="281" spans="1:7" s="94" customFormat="1" ht="18" customHeight="1">
      <c r="A281" s="268"/>
      <c r="B281" s="532" t="s">
        <v>572</v>
      </c>
      <c r="C281" s="543"/>
      <c r="D281" s="269">
        <v>80</v>
      </c>
      <c r="E281" s="270"/>
      <c r="F281" s="270">
        <f t="shared" si="5"/>
        <v>-80</v>
      </c>
    </row>
    <row r="282" spans="1:7" s="94" customFormat="1" ht="18" customHeight="1">
      <c r="A282" s="268"/>
      <c r="B282" s="275" t="s">
        <v>346</v>
      </c>
      <c r="C282" s="271"/>
      <c r="D282" s="269"/>
      <c r="E282" s="270"/>
      <c r="F282" s="270"/>
    </row>
    <row r="283" spans="1:7" s="94" customFormat="1" ht="18" customHeight="1">
      <c r="A283" s="268"/>
      <c r="B283" s="532" t="s">
        <v>580</v>
      </c>
      <c r="C283" s="543"/>
      <c r="D283" s="269" t="e">
        <f>9*#REF!</f>
        <v>#REF!</v>
      </c>
      <c r="E283" s="270"/>
      <c r="F283" s="270" t="e">
        <f>SUM(E283-D283)</f>
        <v>#REF!</v>
      </c>
    </row>
    <row r="284" spans="1:7" s="21" customFormat="1" ht="18" customHeight="1">
      <c r="A284" s="268"/>
      <c r="B284" s="541" t="s">
        <v>581</v>
      </c>
      <c r="C284" s="542"/>
      <c r="D284" s="269" t="e">
        <f>+#REF!</f>
        <v>#REF!</v>
      </c>
      <c r="E284" s="270"/>
      <c r="F284" s="270" t="e">
        <f>SUM(E284-D284)</f>
        <v>#REF!</v>
      </c>
    </row>
    <row r="285" spans="1:7" s="94" customFormat="1" ht="18" customHeight="1">
      <c r="A285" s="268"/>
      <c r="B285" s="275" t="s">
        <v>423</v>
      </c>
      <c r="C285" s="271"/>
      <c r="D285" s="269"/>
      <c r="E285" s="270"/>
      <c r="F285" s="270"/>
    </row>
    <row r="286" spans="1:7" s="94" customFormat="1" ht="18" customHeight="1">
      <c r="A286" s="268"/>
      <c r="B286" s="532" t="s">
        <v>582</v>
      </c>
      <c r="C286" s="543"/>
      <c r="D286" s="269" t="e">
        <f>44*#REF!</f>
        <v>#REF!</v>
      </c>
      <c r="E286" s="270"/>
      <c r="F286" s="270" t="e">
        <f>SUM(E286-D286)</f>
        <v>#REF!</v>
      </c>
      <c r="G286" s="94" t="s">
        <v>583</v>
      </c>
    </row>
    <row r="287" spans="1:7" s="94" customFormat="1" ht="18" customHeight="1">
      <c r="A287" s="268"/>
      <c r="B287" s="532" t="s">
        <v>584</v>
      </c>
      <c r="C287" s="543"/>
      <c r="D287" s="269" t="e">
        <f>6*#REF!</f>
        <v>#REF!</v>
      </c>
      <c r="E287" s="270"/>
      <c r="F287" s="270" t="e">
        <f>SUM(E287-D287)</f>
        <v>#REF!</v>
      </c>
    </row>
    <row r="288" spans="1:7" s="94" customFormat="1" ht="18" customHeight="1">
      <c r="A288" s="268"/>
      <c r="B288" s="532" t="s">
        <v>585</v>
      </c>
      <c r="C288" s="543"/>
      <c r="D288" s="269" t="s">
        <v>597</v>
      </c>
      <c r="E288" s="270"/>
      <c r="F288" s="270">
        <v>0</v>
      </c>
    </row>
    <row r="289" spans="1:6" s="94" customFormat="1" ht="18" customHeight="1">
      <c r="A289" s="268"/>
      <c r="B289" s="532" t="s">
        <v>586</v>
      </c>
      <c r="C289" s="543"/>
      <c r="D289" s="269" t="s">
        <v>597</v>
      </c>
      <c r="E289" s="270"/>
      <c r="F289" s="270">
        <v>0</v>
      </c>
    </row>
    <row r="290" spans="1:6" s="94" customFormat="1" ht="18" customHeight="1">
      <c r="A290" s="268"/>
      <c r="B290" s="532" t="s">
        <v>587</v>
      </c>
      <c r="C290" s="543"/>
      <c r="D290" s="269" t="s">
        <v>597</v>
      </c>
      <c r="E290" s="270"/>
      <c r="F290" s="270">
        <v>0</v>
      </c>
    </row>
    <row r="291" spans="1:6" s="94" customFormat="1" ht="18" customHeight="1">
      <c r="A291" s="268"/>
      <c r="B291" s="532" t="s">
        <v>588</v>
      </c>
      <c r="C291" s="543"/>
      <c r="D291" s="269" t="s">
        <v>597</v>
      </c>
      <c r="E291" s="270"/>
      <c r="F291" s="270">
        <v>0</v>
      </c>
    </row>
    <row r="292" spans="1:6" s="94" customFormat="1" ht="18" customHeight="1">
      <c r="A292" s="268"/>
      <c r="B292" s="532" t="s">
        <v>589</v>
      </c>
      <c r="C292" s="543"/>
      <c r="D292" s="269" t="s">
        <v>597</v>
      </c>
      <c r="E292" s="270"/>
      <c r="F292" s="270">
        <v>0</v>
      </c>
    </row>
    <row r="293" spans="1:6" s="94" customFormat="1" ht="18" customHeight="1">
      <c r="A293" s="268"/>
      <c r="B293" s="532" t="s">
        <v>590</v>
      </c>
      <c r="C293" s="543"/>
      <c r="D293" s="269" t="s">
        <v>597</v>
      </c>
      <c r="E293" s="270"/>
      <c r="F293" s="270">
        <v>0</v>
      </c>
    </row>
    <row r="294" spans="1:6" s="94" customFormat="1" ht="18" customHeight="1">
      <c r="A294" s="268"/>
      <c r="B294" s="532" t="s">
        <v>591</v>
      </c>
      <c r="C294" s="543"/>
      <c r="D294" s="269" t="s">
        <v>597</v>
      </c>
      <c r="E294" s="270"/>
      <c r="F294" s="270">
        <v>0</v>
      </c>
    </row>
    <row r="295" spans="1:6" s="94" customFormat="1" ht="18" customHeight="1">
      <c r="A295" s="268"/>
      <c r="B295" s="532" t="s">
        <v>592</v>
      </c>
      <c r="C295" s="543"/>
      <c r="D295" s="269" t="s">
        <v>597</v>
      </c>
      <c r="E295" s="270"/>
      <c r="F295" s="270">
        <v>0</v>
      </c>
    </row>
    <row r="296" spans="1:6" s="94" customFormat="1" ht="18" customHeight="1">
      <c r="A296" s="268"/>
      <c r="B296" s="275" t="s">
        <v>358</v>
      </c>
      <c r="C296" s="271"/>
      <c r="D296" s="269"/>
      <c r="E296" s="270"/>
      <c r="F296" s="270"/>
    </row>
    <row r="297" spans="1:6" s="94" customFormat="1" ht="18" customHeight="1">
      <c r="A297" s="268"/>
      <c r="B297" s="532" t="s">
        <v>593</v>
      </c>
      <c r="C297" s="543"/>
      <c r="D297" s="269">
        <v>950</v>
      </c>
      <c r="E297" s="270"/>
      <c r="F297" s="270">
        <f>SUM(E297-D297)</f>
        <v>-950</v>
      </c>
    </row>
    <row r="298" spans="1:6" s="94" customFormat="1" ht="18" customHeight="1">
      <c r="A298" s="268"/>
      <c r="B298" s="532" t="s">
        <v>507</v>
      </c>
      <c r="C298" s="543"/>
      <c r="D298" s="269" t="e">
        <f>+#REF!</f>
        <v>#REF!</v>
      </c>
      <c r="E298" s="270"/>
      <c r="F298" s="270" t="e">
        <f>SUM(E298-D298)</f>
        <v>#REF!</v>
      </c>
    </row>
    <row r="299" spans="1:6" s="94" customFormat="1" ht="18" customHeight="1">
      <c r="A299" s="268"/>
      <c r="B299" s="532" t="s">
        <v>594</v>
      </c>
      <c r="C299" s="543"/>
      <c r="D299" s="269" t="e">
        <f>36*#REF!</f>
        <v>#REF!</v>
      </c>
      <c r="E299" s="270"/>
      <c r="F299" s="270" t="e">
        <f>SUM(E299-D299)</f>
        <v>#REF!</v>
      </c>
    </row>
    <row r="300" spans="1:6" s="94" customFormat="1" ht="18" customHeight="1">
      <c r="A300" s="268"/>
      <c r="B300" s="532" t="s">
        <v>595</v>
      </c>
      <c r="C300" s="543"/>
      <c r="D300" s="269" t="e">
        <f>61*#REF!</f>
        <v>#REF!</v>
      </c>
      <c r="E300" s="270"/>
      <c r="F300" s="270" t="e">
        <f>SUM(E300-D300)</f>
        <v>#REF!</v>
      </c>
    </row>
    <row r="301" spans="1:6" s="94" customFormat="1" ht="18" customHeight="1">
      <c r="A301" s="268"/>
      <c r="B301" s="532" t="s">
        <v>596</v>
      </c>
      <c r="C301" s="543"/>
      <c r="D301" s="269" t="e">
        <f>2*#REF!</f>
        <v>#REF!</v>
      </c>
      <c r="E301" s="270"/>
      <c r="F301" s="270" t="e">
        <f>SUM(E301-D301)</f>
        <v>#REF!</v>
      </c>
    </row>
    <row r="302" spans="1:6" s="94" customFormat="1" ht="18.600000000000001" customHeight="1">
      <c r="A302" s="268"/>
      <c r="B302" s="275" t="s">
        <v>370</v>
      </c>
      <c r="C302" s="271"/>
      <c r="D302" s="269"/>
      <c r="E302" s="270"/>
      <c r="F302" s="270"/>
    </row>
    <row r="303" spans="1:6" s="94" customFormat="1" ht="26.1" customHeight="1">
      <c r="A303" s="268"/>
      <c r="B303" s="532" t="s">
        <v>598</v>
      </c>
      <c r="C303" s="543"/>
      <c r="D303" s="269">
        <v>250</v>
      </c>
      <c r="E303" s="270"/>
      <c r="F303" s="270">
        <f>SUM(E303-D303)</f>
        <v>-250</v>
      </c>
    </row>
    <row r="304" spans="1:6" s="94" customFormat="1" ht="18" customHeight="1">
      <c r="A304" s="268"/>
      <c r="B304" s="532" t="s">
        <v>599</v>
      </c>
      <c r="C304" s="543"/>
      <c r="D304" s="269">
        <v>13300</v>
      </c>
      <c r="E304" s="270"/>
      <c r="F304" s="270">
        <f>SUM(E304-D304)</f>
        <v>-13300</v>
      </c>
    </row>
    <row r="305" spans="1:6" s="94" customFormat="1" ht="18" customHeight="1">
      <c r="A305" s="268"/>
      <c r="B305" s="532" t="s">
        <v>600</v>
      </c>
      <c r="C305" s="543"/>
      <c r="D305" s="269">
        <v>2750</v>
      </c>
      <c r="E305" s="270"/>
      <c r="F305" s="270">
        <f>SUM(E305-D305)</f>
        <v>-2750</v>
      </c>
    </row>
    <row r="306" spans="1:6" s="94" customFormat="1" ht="18" customHeight="1">
      <c r="A306" s="268"/>
      <c r="B306" s="532" t="s">
        <v>601</v>
      </c>
      <c r="C306" s="543"/>
      <c r="D306" s="269">
        <v>1980</v>
      </c>
      <c r="E306" s="270"/>
      <c r="F306" s="270">
        <f>SUM(E306-D306)</f>
        <v>-1980</v>
      </c>
    </row>
    <row r="307" spans="1:6" s="94" customFormat="1" ht="18" customHeight="1">
      <c r="A307" s="268"/>
      <c r="B307" s="275" t="s">
        <v>379</v>
      </c>
      <c r="C307" s="271"/>
      <c r="D307" s="269"/>
      <c r="E307" s="270"/>
      <c r="F307" s="270"/>
    </row>
    <row r="308" spans="1:6" s="94" customFormat="1" ht="18" customHeight="1">
      <c r="A308" s="268"/>
      <c r="B308" s="532" t="s">
        <v>602</v>
      </c>
      <c r="C308" s="543"/>
      <c r="D308" s="269" t="e">
        <f>CEILING(27*#REF!+14*#REF!*2,10)</f>
        <v>#REF!</v>
      </c>
      <c r="E308" s="270"/>
      <c r="F308" s="270" t="e">
        <f>SUM(E308-D308)</f>
        <v>#REF!</v>
      </c>
    </row>
    <row r="309" spans="1:6" s="94" customFormat="1" ht="18" customHeight="1">
      <c r="A309" s="268"/>
      <c r="B309" s="532" t="s">
        <v>603</v>
      </c>
      <c r="C309" s="543"/>
      <c r="D309" s="269">
        <v>3700</v>
      </c>
      <c r="E309" s="270"/>
      <c r="F309" s="270">
        <f>SUM(E309-D309)</f>
        <v>-3700</v>
      </c>
    </row>
    <row r="310" spans="1:6" s="94" customFormat="1" ht="18" customHeight="1">
      <c r="A310" s="268"/>
      <c r="B310" s="532" t="s">
        <v>604</v>
      </c>
      <c r="C310" s="543"/>
      <c r="D310" s="269" t="e">
        <f>CEILING(12*#REF!,10)</f>
        <v>#REF!</v>
      </c>
      <c r="E310" s="270"/>
      <c r="F310" s="270" t="e">
        <f>SUM(E310-D310)</f>
        <v>#REF!</v>
      </c>
    </row>
    <row r="311" spans="1:6" s="94" customFormat="1" ht="18" customHeight="1">
      <c r="A311" s="268"/>
      <c r="B311" s="532" t="s">
        <v>605</v>
      </c>
      <c r="C311" s="543"/>
      <c r="D311" s="269">
        <v>3700</v>
      </c>
      <c r="E311" s="270"/>
      <c r="F311" s="270">
        <f>SUM(E311-D311)</f>
        <v>-3700</v>
      </c>
    </row>
    <row r="312" spans="1:6" s="94" customFormat="1" ht="18" customHeight="1">
      <c r="A312" s="268"/>
      <c r="B312" s="532" t="s">
        <v>606</v>
      </c>
      <c r="C312" s="543"/>
      <c r="D312" s="269">
        <v>5500</v>
      </c>
      <c r="E312" s="270"/>
      <c r="F312" s="270">
        <f>SUM(E312-D312)</f>
        <v>-5500</v>
      </c>
    </row>
    <row r="313" spans="1:6" s="94" customFormat="1" ht="18" customHeight="1">
      <c r="A313" s="268"/>
      <c r="B313" s="532" t="s">
        <v>607</v>
      </c>
      <c r="C313" s="543"/>
      <c r="D313" s="269" t="s">
        <v>597</v>
      </c>
      <c r="E313" s="270"/>
      <c r="F313" s="270">
        <v>0</v>
      </c>
    </row>
    <row r="314" spans="1:6" s="94" customFormat="1" ht="18" customHeight="1">
      <c r="A314" s="268"/>
      <c r="B314" s="275" t="s">
        <v>608</v>
      </c>
      <c r="C314" s="271"/>
      <c r="D314" s="269"/>
      <c r="E314" s="270"/>
      <c r="F314" s="270"/>
    </row>
    <row r="315" spans="1:6" s="94" customFormat="1" ht="18" customHeight="1">
      <c r="A315" s="268"/>
      <c r="B315" s="532" t="s">
        <v>609</v>
      </c>
      <c r="C315" s="543"/>
      <c r="D315" s="269">
        <v>5000</v>
      </c>
      <c r="E315" s="270"/>
      <c r="F315" s="270">
        <f>SUM(E315-D315)</f>
        <v>-5000</v>
      </c>
    </row>
    <row r="316" spans="1:6" s="94" customFormat="1" ht="18" customHeight="1">
      <c r="A316" s="268"/>
      <c r="B316" s="275" t="s">
        <v>383</v>
      </c>
      <c r="C316" s="271"/>
      <c r="D316" s="269"/>
      <c r="E316" s="270"/>
      <c r="F316" s="270"/>
    </row>
    <row r="317" spans="1:6" s="94" customFormat="1" ht="18" customHeight="1">
      <c r="A317" s="268"/>
      <c r="B317" s="532" t="s">
        <v>610</v>
      </c>
      <c r="C317" s="543"/>
      <c r="D317" s="269"/>
      <c r="E317" s="270"/>
      <c r="F317" s="270">
        <f>SUM(E317-D317)</f>
        <v>0</v>
      </c>
    </row>
    <row r="318" spans="1:6" s="94" customFormat="1" ht="18" customHeight="1">
      <c r="A318" s="268"/>
      <c r="B318" s="532" t="s">
        <v>611</v>
      </c>
      <c r="C318" s="543"/>
      <c r="D318" s="269" t="e">
        <f>+#REF!</f>
        <v>#REF!</v>
      </c>
      <c r="E318" s="270"/>
      <c r="F318" s="270" t="e">
        <f>SUM(E318-D318)</f>
        <v>#REF!</v>
      </c>
    </row>
    <row r="319" spans="1:6" s="94" customFormat="1" ht="18" customHeight="1">
      <c r="A319" s="268"/>
      <c r="B319" s="532" t="s">
        <v>612</v>
      </c>
      <c r="C319" s="543"/>
      <c r="D319" s="269"/>
      <c r="E319" s="270"/>
      <c r="F319" s="270">
        <f>SUM(E319-D319)</f>
        <v>0</v>
      </c>
    </row>
    <row r="320" spans="1:6" s="94" customFormat="1" ht="18" customHeight="1">
      <c r="A320" s="268"/>
      <c r="B320" s="275" t="s">
        <v>385</v>
      </c>
      <c r="C320" s="271"/>
      <c r="D320" s="269"/>
      <c r="E320" s="270"/>
      <c r="F320" s="270"/>
    </row>
    <row r="321" spans="1:7" s="94" customFormat="1" ht="18" customHeight="1">
      <c r="A321" s="268"/>
      <c r="B321" s="532" t="s">
        <v>613</v>
      </c>
      <c r="C321" s="543"/>
      <c r="D321" s="269"/>
      <c r="E321" s="270"/>
      <c r="F321" s="270">
        <f t="shared" ref="F321:F328" si="6">SUM(E321-D321)</f>
        <v>0</v>
      </c>
    </row>
    <row r="322" spans="1:7" s="94" customFormat="1" ht="18" customHeight="1">
      <c r="A322" s="268"/>
      <c r="B322" s="532" t="s">
        <v>614</v>
      </c>
      <c r="C322" s="543"/>
      <c r="D322" s="269"/>
      <c r="E322" s="270"/>
      <c r="F322" s="270">
        <f t="shared" si="6"/>
        <v>0</v>
      </c>
    </row>
    <row r="323" spans="1:7" s="94" customFormat="1" ht="18" customHeight="1">
      <c r="A323" s="268"/>
      <c r="B323" s="532" t="s">
        <v>615</v>
      </c>
      <c r="C323" s="543"/>
      <c r="D323" s="269"/>
      <c r="E323" s="270"/>
      <c r="F323" s="270">
        <f t="shared" si="6"/>
        <v>0</v>
      </c>
    </row>
    <row r="324" spans="1:7" s="94" customFormat="1" ht="18" customHeight="1">
      <c r="A324" s="268"/>
      <c r="B324" s="532" t="s">
        <v>616</v>
      </c>
      <c r="C324" s="543"/>
      <c r="D324" s="269"/>
      <c r="E324" s="270"/>
      <c r="F324" s="270">
        <f t="shared" si="6"/>
        <v>0</v>
      </c>
    </row>
    <row r="325" spans="1:7" s="94" customFormat="1" ht="18" customHeight="1">
      <c r="A325" s="268"/>
      <c r="B325" s="532" t="s">
        <v>617</v>
      </c>
      <c r="C325" s="543"/>
      <c r="D325" s="269"/>
      <c r="E325" s="270"/>
      <c r="F325" s="270">
        <f t="shared" si="6"/>
        <v>0</v>
      </c>
    </row>
    <row r="326" spans="1:7" s="94" customFormat="1" ht="18" customHeight="1">
      <c r="A326" s="268"/>
      <c r="B326" s="532" t="s">
        <v>618</v>
      </c>
      <c r="C326" s="543"/>
      <c r="D326" s="269"/>
      <c r="E326" s="270"/>
      <c r="F326" s="270">
        <f t="shared" si="6"/>
        <v>0</v>
      </c>
    </row>
    <row r="327" spans="1:7" s="94" customFormat="1" ht="18" customHeight="1">
      <c r="A327" s="268"/>
      <c r="B327" s="532" t="s">
        <v>619</v>
      </c>
      <c r="C327" s="543"/>
      <c r="D327" s="269"/>
      <c r="E327" s="270"/>
      <c r="F327" s="270">
        <f t="shared" si="6"/>
        <v>0</v>
      </c>
    </row>
    <row r="328" spans="1:7" s="94" customFormat="1" ht="18" customHeight="1">
      <c r="A328" s="268"/>
      <c r="B328" s="532" t="s">
        <v>620</v>
      </c>
      <c r="C328" s="543"/>
      <c r="D328" s="269"/>
      <c r="E328" s="270"/>
      <c r="F328" s="270">
        <f t="shared" si="6"/>
        <v>0</v>
      </c>
    </row>
    <row r="329" spans="1:7" s="147" customFormat="1" ht="18" customHeight="1">
      <c r="A329" s="127"/>
      <c r="B329" s="534" t="s">
        <v>430</v>
      </c>
      <c r="C329" s="535"/>
      <c r="D329" s="184" t="e">
        <f>SUM(D186:D328)</f>
        <v>#REF!</v>
      </c>
      <c r="E329" s="184">
        <f>SUM(E186:E328)</f>
        <v>0</v>
      </c>
      <c r="F329" s="281" t="e">
        <f>SUM(F186:F328)</f>
        <v>#REF!</v>
      </c>
      <c r="G329" s="185"/>
    </row>
    <row r="330" spans="1:7" s="147" customFormat="1" ht="18" customHeight="1">
      <c r="A330" s="127"/>
      <c r="B330" s="186"/>
      <c r="C330" s="187" t="s">
        <v>431</v>
      </c>
      <c r="D330" s="536" t="e">
        <f>SUM(D329)</f>
        <v>#REF!</v>
      </c>
      <c r="E330" s="537"/>
      <c r="F330" s="538"/>
    </row>
    <row r="331" spans="1:7" s="147" customFormat="1" ht="18" customHeight="1">
      <c r="A331" s="127"/>
      <c r="B331" s="186"/>
      <c r="C331" s="187"/>
      <c r="D331" s="188"/>
      <c r="E331" s="188"/>
      <c r="F331" s="189"/>
    </row>
    <row r="332" spans="1:7" s="147" customFormat="1" ht="18" customHeight="1" thickBot="1">
      <c r="A332" s="127"/>
      <c r="B332" s="539" t="s">
        <v>432</v>
      </c>
      <c r="C332" s="540"/>
      <c r="D332" s="190"/>
      <c r="E332" s="190"/>
      <c r="F332" s="191"/>
    </row>
    <row r="333" spans="1:7" s="147" customFormat="1" ht="18" customHeight="1" thickBot="1">
      <c r="A333" s="127"/>
      <c r="B333" s="192"/>
      <c r="C333" s="193"/>
      <c r="D333" s="194"/>
      <c r="E333" s="194"/>
      <c r="F333" s="194"/>
    </row>
    <row r="334" spans="1:7" s="147" customFormat="1" ht="18" customHeight="1">
      <c r="A334" s="127"/>
      <c r="B334" s="195"/>
      <c r="C334" s="196"/>
      <c r="D334" s="197"/>
      <c r="E334" s="197"/>
      <c r="F334" s="198"/>
    </row>
    <row r="335" spans="1:7" ht="18" customHeight="1">
      <c r="B335" s="199"/>
      <c r="C335" s="193"/>
      <c r="D335" s="194"/>
      <c r="E335" s="194"/>
      <c r="F335" s="200"/>
      <c r="G335" s="192"/>
    </row>
    <row r="336" spans="1:7" ht="18" customHeight="1">
      <c r="A336" s="188"/>
      <c r="B336" s="199"/>
      <c r="C336" s="193"/>
      <c r="D336" s="194"/>
      <c r="E336" s="194"/>
      <c r="F336" s="200"/>
    </row>
    <row r="337" spans="1:6" ht="18" customHeight="1">
      <c r="A337" s="188"/>
      <c r="B337" s="199"/>
      <c r="C337" s="193"/>
      <c r="D337" s="194"/>
      <c r="E337" s="194"/>
      <c r="F337" s="200"/>
    </row>
    <row r="338" spans="1:6" ht="18" customHeight="1">
      <c r="A338" s="188"/>
      <c r="B338" s="201"/>
      <c r="F338" s="119"/>
    </row>
    <row r="339" spans="1:6" ht="18" customHeight="1">
      <c r="A339" s="188"/>
      <c r="B339" s="201"/>
      <c r="F339" s="119"/>
    </row>
    <row r="340" spans="1:6" ht="18" customHeight="1">
      <c r="A340" s="188"/>
      <c r="B340" s="201"/>
      <c r="F340" s="119"/>
    </row>
    <row r="341" spans="1:6" ht="18" customHeight="1">
      <c r="A341" s="188"/>
      <c r="B341" s="201"/>
      <c r="F341" s="119"/>
    </row>
    <row r="342" spans="1:6" ht="18" customHeight="1">
      <c r="A342" s="188"/>
      <c r="B342" s="185"/>
      <c r="C342" s="202" t="s">
        <v>433</v>
      </c>
      <c r="D342" s="127"/>
      <c r="E342" s="127"/>
      <c r="F342" s="203"/>
    </row>
    <row r="343" spans="1:6" ht="18" customHeight="1">
      <c r="A343" s="188"/>
      <c r="B343" s="204" t="s">
        <v>434</v>
      </c>
      <c r="C343" s="127" t="s">
        <v>435</v>
      </c>
      <c r="D343" s="127"/>
      <c r="E343" s="127" t="s">
        <v>436</v>
      </c>
      <c r="F343" s="203"/>
    </row>
    <row r="344" spans="1:6" ht="18" customHeight="1">
      <c r="B344" s="205"/>
      <c r="C344" s="206"/>
      <c r="D344" s="282"/>
      <c r="E344" s="283"/>
      <c r="F344" s="203"/>
    </row>
    <row r="345" spans="1:6" ht="18" customHeight="1">
      <c r="B345" s="284">
        <v>0.05</v>
      </c>
      <c r="C345" s="210" t="s">
        <v>437</v>
      </c>
      <c r="D345" s="213"/>
      <c r="E345" s="214" t="e">
        <f>D330*0.05</f>
        <v>#REF!</v>
      </c>
      <c r="F345" s="203"/>
    </row>
    <row r="346" spans="1:6" ht="18" customHeight="1">
      <c r="B346" s="284">
        <v>0.15</v>
      </c>
      <c r="C346" s="210" t="s">
        <v>438</v>
      </c>
      <c r="D346" s="213"/>
      <c r="E346" s="214" t="e">
        <f>SUM(D330*0.15)</f>
        <v>#REF!</v>
      </c>
      <c r="F346" s="203"/>
    </row>
    <row r="347" spans="1:6" ht="18" customHeight="1">
      <c r="B347" s="284">
        <v>0.15</v>
      </c>
      <c r="C347" s="210" t="s">
        <v>439</v>
      </c>
      <c r="D347" s="213"/>
      <c r="E347" s="214" t="e">
        <f>SUM(D330*0.15)</f>
        <v>#REF!</v>
      </c>
      <c r="F347" s="203"/>
    </row>
    <row r="348" spans="1:6" s="147" customFormat="1" ht="18" customHeight="1">
      <c r="A348" s="127"/>
      <c r="B348" s="285">
        <v>0.17499999999999999</v>
      </c>
      <c r="C348" s="210" t="s">
        <v>440</v>
      </c>
      <c r="D348" s="213"/>
      <c r="E348" s="214" t="e">
        <f>SUM(D330*0.175)</f>
        <v>#REF!</v>
      </c>
      <c r="F348" s="203"/>
    </row>
    <row r="349" spans="1:6" s="147" customFormat="1" ht="18" customHeight="1">
      <c r="A349" s="127"/>
      <c r="B349" s="285">
        <v>0.17499999999999999</v>
      </c>
      <c r="C349" s="210" t="s">
        <v>441</v>
      </c>
      <c r="D349" s="213"/>
      <c r="E349" s="214" t="e">
        <f>SUM(D330*0.175)</f>
        <v>#REF!</v>
      </c>
      <c r="F349" s="203"/>
    </row>
    <row r="350" spans="1:6" s="147" customFormat="1" ht="18" customHeight="1">
      <c r="A350" s="127"/>
      <c r="B350" s="284">
        <v>0.2</v>
      </c>
      <c r="C350" s="210" t="s">
        <v>442</v>
      </c>
      <c r="D350" s="213"/>
      <c r="E350" s="214" t="e">
        <f>SUM(D330*0.2)</f>
        <v>#REF!</v>
      </c>
      <c r="F350" s="203"/>
    </row>
    <row r="351" spans="1:6" s="147" customFormat="1" ht="18" customHeight="1">
      <c r="A351" s="127"/>
      <c r="B351" s="284">
        <v>0.1</v>
      </c>
      <c r="C351" s="210" t="s">
        <v>443</v>
      </c>
      <c r="D351" s="216"/>
      <c r="E351" s="214" t="e">
        <f>D330*0.1</f>
        <v>#REF!</v>
      </c>
      <c r="F351" s="203"/>
    </row>
    <row r="352" spans="1:6" s="147" customFormat="1" ht="18" customHeight="1">
      <c r="A352" s="127"/>
      <c r="B352" s="204"/>
      <c r="C352" s="150"/>
      <c r="D352" s="127"/>
      <c r="E352" s="217"/>
      <c r="F352" s="203"/>
    </row>
    <row r="353" spans="1:6" s="147" customFormat="1" ht="18" customHeight="1">
      <c r="A353" s="127"/>
      <c r="B353" s="185"/>
      <c r="C353" s="202" t="s">
        <v>444</v>
      </c>
      <c r="D353" s="216"/>
      <c r="F353" s="203"/>
    </row>
    <row r="354" spans="1:6" s="147" customFormat="1" ht="18" customHeight="1">
      <c r="A354" s="127"/>
      <c r="B354" s="185"/>
      <c r="C354" s="150" t="s">
        <v>445</v>
      </c>
      <c r="D354" s="127"/>
      <c r="E354" s="150" t="e">
        <f>SUM(D330)/1.1</f>
        <v>#REF!</v>
      </c>
      <c r="F354" s="203"/>
    </row>
    <row r="355" spans="1:6" s="147" customFormat="1" ht="18" customHeight="1">
      <c r="A355" s="127"/>
      <c r="B355" s="185"/>
      <c r="C355" s="150" t="s">
        <v>446</v>
      </c>
      <c r="D355" s="127"/>
      <c r="E355" s="150" t="e">
        <f>SUM(D330-E354)</f>
        <v>#REF!</v>
      </c>
      <c r="F355" s="203"/>
    </row>
    <row r="356" spans="1:6" s="147" customFormat="1" ht="18" customHeight="1">
      <c r="A356" s="127"/>
      <c r="B356" s="185"/>
      <c r="C356" s="150" t="s">
        <v>447</v>
      </c>
      <c r="D356" s="127"/>
      <c r="E356" s="150" t="e">
        <f>SUM(E354:E355)</f>
        <v>#REF!</v>
      </c>
      <c r="F356" s="203"/>
    </row>
    <row r="357" spans="1:6" s="147" customFormat="1" ht="18" customHeight="1">
      <c r="A357" s="127"/>
      <c r="B357" s="185"/>
      <c r="D357" s="216"/>
      <c r="F357" s="203"/>
    </row>
    <row r="358" spans="1:6" s="147" customFormat="1" ht="18" customHeight="1">
      <c r="A358" s="127"/>
      <c r="B358" s="185"/>
      <c r="D358" s="216"/>
      <c r="F358" s="203"/>
    </row>
    <row r="359" spans="1:6" s="147" customFormat="1" ht="18" customHeight="1">
      <c r="A359" s="127"/>
      <c r="B359" s="185"/>
      <c r="C359" s="202"/>
      <c r="D359" s="216"/>
      <c r="F359" s="203"/>
    </row>
    <row r="360" spans="1:6" s="147" customFormat="1" ht="18" customHeight="1">
      <c r="A360" s="127"/>
      <c r="B360" s="185"/>
      <c r="C360" s="150"/>
      <c r="D360" s="127"/>
      <c r="E360" s="150"/>
      <c r="F360" s="203"/>
    </row>
    <row r="361" spans="1:6" s="147" customFormat="1" ht="18" customHeight="1">
      <c r="A361" s="127"/>
      <c r="B361" s="185"/>
      <c r="C361" s="150"/>
      <c r="D361" s="127"/>
      <c r="E361" s="150"/>
      <c r="F361" s="203"/>
    </row>
    <row r="362" spans="1:6" s="147" customFormat="1" ht="18" customHeight="1">
      <c r="A362" s="127"/>
      <c r="B362" s="185"/>
      <c r="C362" s="150"/>
      <c r="D362" s="127"/>
      <c r="E362" s="150"/>
      <c r="F362" s="203"/>
    </row>
    <row r="363" spans="1:6" s="147" customFormat="1" ht="18" customHeight="1">
      <c r="A363" s="127"/>
      <c r="B363" s="185"/>
      <c r="C363" s="150"/>
      <c r="D363" s="127"/>
      <c r="E363" s="150"/>
      <c r="F363" s="203"/>
    </row>
    <row r="364" spans="1:6" s="147" customFormat="1" ht="18" customHeight="1">
      <c r="A364" s="127"/>
      <c r="B364" s="185"/>
      <c r="C364" s="150"/>
      <c r="D364" s="127"/>
      <c r="E364" s="150"/>
      <c r="F364" s="203"/>
    </row>
    <row r="365" spans="1:6" s="147" customFormat="1" ht="18" customHeight="1">
      <c r="A365" s="127"/>
      <c r="B365" s="201"/>
      <c r="C365" s="40"/>
      <c r="D365" s="107"/>
      <c r="E365" s="40"/>
      <c r="F365" s="119"/>
    </row>
    <row r="366" spans="1:6" s="147" customFormat="1" ht="18" customHeight="1">
      <c r="A366" s="127"/>
      <c r="B366" s="201"/>
      <c r="C366" s="40"/>
      <c r="D366" s="107"/>
      <c r="E366" s="40"/>
      <c r="F366" s="119"/>
    </row>
    <row r="367" spans="1:6" s="147" customFormat="1" ht="18" customHeight="1">
      <c r="A367" s="127"/>
      <c r="B367" s="201"/>
      <c r="C367" s="40"/>
      <c r="D367" s="107"/>
      <c r="E367" s="40"/>
      <c r="F367" s="119"/>
    </row>
    <row r="368" spans="1:6" s="147" customFormat="1" ht="18" customHeight="1">
      <c r="A368" s="127"/>
      <c r="B368" s="201"/>
      <c r="C368" s="40"/>
      <c r="D368" s="107"/>
      <c r="E368" s="40"/>
      <c r="F368" s="119"/>
    </row>
    <row r="369" spans="1:6" s="147" customFormat="1" ht="18" customHeight="1">
      <c r="A369" s="127"/>
      <c r="B369" s="201"/>
      <c r="C369" s="40"/>
      <c r="D369" s="107"/>
      <c r="E369" s="40"/>
      <c r="F369" s="119"/>
    </row>
    <row r="370" spans="1:6" s="147" customFormat="1" ht="18" customHeight="1">
      <c r="A370" s="127"/>
      <c r="B370" s="201"/>
      <c r="C370" s="40"/>
      <c r="D370" s="107"/>
      <c r="E370" s="40"/>
      <c r="F370" s="119"/>
    </row>
    <row r="371" spans="1:6" ht="18" customHeight="1">
      <c r="B371" s="201"/>
      <c r="F371" s="119"/>
    </row>
    <row r="372" spans="1:6" ht="18" customHeight="1">
      <c r="B372" s="201"/>
      <c r="F372" s="119"/>
    </row>
    <row r="373" spans="1:6" ht="18" customHeight="1">
      <c r="B373" s="201"/>
      <c r="F373" s="119"/>
    </row>
    <row r="374" spans="1:6" ht="18" customHeight="1">
      <c r="B374" s="201"/>
      <c r="F374" s="119"/>
    </row>
    <row r="375" spans="1:6" ht="18" customHeight="1">
      <c r="B375" s="201"/>
      <c r="F375" s="119"/>
    </row>
    <row r="376" spans="1:6" ht="18" customHeight="1">
      <c r="B376" s="201"/>
      <c r="F376" s="119"/>
    </row>
    <row r="377" spans="1:6" ht="18" customHeight="1" thickBot="1">
      <c r="B377" s="218"/>
      <c r="C377" s="219"/>
      <c r="D377" s="220"/>
      <c r="E377" s="219"/>
      <c r="F377" s="221"/>
    </row>
  </sheetData>
  <mergeCells count="362">
    <mergeCell ref="B328:C328"/>
    <mergeCell ref="B318:C318"/>
    <mergeCell ref="B319:C319"/>
    <mergeCell ref="B321:C321"/>
    <mergeCell ref="B322:C322"/>
    <mergeCell ref="B323:C323"/>
    <mergeCell ref="B324:C324"/>
    <mergeCell ref="B325:C325"/>
    <mergeCell ref="B326:C326"/>
    <mergeCell ref="B327:C327"/>
    <mergeCell ref="B306:C306"/>
    <mergeCell ref="B308:C308"/>
    <mergeCell ref="B309:C309"/>
    <mergeCell ref="B310:C310"/>
    <mergeCell ref="B311:C311"/>
    <mergeCell ref="B312:C312"/>
    <mergeCell ref="B313:C313"/>
    <mergeCell ref="B315:C315"/>
    <mergeCell ref="B317:C317"/>
    <mergeCell ref="B295:C295"/>
    <mergeCell ref="B297:C297"/>
    <mergeCell ref="B298:C298"/>
    <mergeCell ref="B299:C299"/>
    <mergeCell ref="B300:C300"/>
    <mergeCell ref="B301:C301"/>
    <mergeCell ref="B303:C303"/>
    <mergeCell ref="B304:C304"/>
    <mergeCell ref="B305:C305"/>
    <mergeCell ref="B286:C286"/>
    <mergeCell ref="B287:C287"/>
    <mergeCell ref="B288:C288"/>
    <mergeCell ref="B289:C289"/>
    <mergeCell ref="B290:C290"/>
    <mergeCell ref="B291:C291"/>
    <mergeCell ref="B292:C292"/>
    <mergeCell ref="B293:C293"/>
    <mergeCell ref="B294:C294"/>
    <mergeCell ref="B275:C275"/>
    <mergeCell ref="B276:C276"/>
    <mergeCell ref="B277:C277"/>
    <mergeCell ref="B278:C278"/>
    <mergeCell ref="B279:C279"/>
    <mergeCell ref="B280:C280"/>
    <mergeCell ref="B281:C281"/>
    <mergeCell ref="B283:C283"/>
    <mergeCell ref="B284:C284"/>
    <mergeCell ref="B265:C265"/>
    <mergeCell ref="B266:C266"/>
    <mergeCell ref="B267:C267"/>
    <mergeCell ref="B268:C268"/>
    <mergeCell ref="B269:C269"/>
    <mergeCell ref="B270:C270"/>
    <mergeCell ref="B271:C271"/>
    <mergeCell ref="B272:C272"/>
    <mergeCell ref="B274:C274"/>
    <mergeCell ref="B254:C254"/>
    <mergeCell ref="B255:C255"/>
    <mergeCell ref="B256:C256"/>
    <mergeCell ref="B257:C257"/>
    <mergeCell ref="B258:C258"/>
    <mergeCell ref="B259:C259"/>
    <mergeCell ref="B261:C261"/>
    <mergeCell ref="B263:C263"/>
    <mergeCell ref="B264:C264"/>
    <mergeCell ref="B47:C47"/>
    <mergeCell ref="C48:F48"/>
    <mergeCell ref="B49:F49"/>
    <mergeCell ref="B50:F50"/>
    <mergeCell ref="B51:F51"/>
    <mergeCell ref="C52:F52"/>
    <mergeCell ref="B58:C58"/>
    <mergeCell ref="D58:F58"/>
    <mergeCell ref="B59:C59"/>
    <mergeCell ref="D59:F59"/>
    <mergeCell ref="B60:C60"/>
    <mergeCell ref="D60:F60"/>
    <mergeCell ref="B54:F54"/>
    <mergeCell ref="D55:F55"/>
    <mergeCell ref="B56:C56"/>
    <mergeCell ref="D56:F56"/>
    <mergeCell ref="B57:C57"/>
    <mergeCell ref="D57:F57"/>
    <mergeCell ref="B65:C65"/>
    <mergeCell ref="D65:F65"/>
    <mergeCell ref="B66:C66"/>
    <mergeCell ref="D66:F66"/>
    <mergeCell ref="B67:C67"/>
    <mergeCell ref="D67:F67"/>
    <mergeCell ref="B61:C61"/>
    <mergeCell ref="D61:F61"/>
    <mergeCell ref="B62:C62"/>
    <mergeCell ref="D62:F62"/>
    <mergeCell ref="D63:F63"/>
    <mergeCell ref="B64:C64"/>
    <mergeCell ref="D64:F64"/>
    <mergeCell ref="B72:C72"/>
    <mergeCell ref="D72:F72"/>
    <mergeCell ref="D73:F73"/>
    <mergeCell ref="B74:C74"/>
    <mergeCell ref="D74:F74"/>
    <mergeCell ref="D75:F75"/>
    <mergeCell ref="B68:C68"/>
    <mergeCell ref="D68:F68"/>
    <mergeCell ref="D69:F69"/>
    <mergeCell ref="B70:C70"/>
    <mergeCell ref="D70:F70"/>
    <mergeCell ref="B71:C71"/>
    <mergeCell ref="D71:F71"/>
    <mergeCell ref="D79:F79"/>
    <mergeCell ref="B80:C80"/>
    <mergeCell ref="D80:F80"/>
    <mergeCell ref="D81:F81"/>
    <mergeCell ref="B82:C82"/>
    <mergeCell ref="D82:F82"/>
    <mergeCell ref="B76:C76"/>
    <mergeCell ref="D76:F76"/>
    <mergeCell ref="B77:C77"/>
    <mergeCell ref="D77:F77"/>
    <mergeCell ref="B78:C78"/>
    <mergeCell ref="D78:F78"/>
    <mergeCell ref="B87:C87"/>
    <mergeCell ref="D87:F87"/>
    <mergeCell ref="D88:F88"/>
    <mergeCell ref="B89:C89"/>
    <mergeCell ref="D89:F89"/>
    <mergeCell ref="B90:C90"/>
    <mergeCell ref="D90:F90"/>
    <mergeCell ref="B83:C83"/>
    <mergeCell ref="D83:F83"/>
    <mergeCell ref="D84:F84"/>
    <mergeCell ref="B85:C85"/>
    <mergeCell ref="D85:F85"/>
    <mergeCell ref="B86:C86"/>
    <mergeCell ref="D86:F86"/>
    <mergeCell ref="D95:F95"/>
    <mergeCell ref="B96:C96"/>
    <mergeCell ref="D96:F96"/>
    <mergeCell ref="B97:C97"/>
    <mergeCell ref="D97:F97"/>
    <mergeCell ref="B98:C98"/>
    <mergeCell ref="D98:F98"/>
    <mergeCell ref="D91:F91"/>
    <mergeCell ref="B92:C92"/>
    <mergeCell ref="D92:F92"/>
    <mergeCell ref="B93:C93"/>
    <mergeCell ref="D93:F93"/>
    <mergeCell ref="B94:C94"/>
    <mergeCell ref="D94:F94"/>
    <mergeCell ref="B103:C103"/>
    <mergeCell ref="D103:F103"/>
    <mergeCell ref="D104:F104"/>
    <mergeCell ref="B105:C105"/>
    <mergeCell ref="D105:F105"/>
    <mergeCell ref="B106:C106"/>
    <mergeCell ref="D106:F106"/>
    <mergeCell ref="D99:F99"/>
    <mergeCell ref="B100:C100"/>
    <mergeCell ref="D100:F100"/>
    <mergeCell ref="B101:C101"/>
    <mergeCell ref="D101:F101"/>
    <mergeCell ref="B102:C102"/>
    <mergeCell ref="D102:F102"/>
    <mergeCell ref="B111:C111"/>
    <mergeCell ref="D111:F111"/>
    <mergeCell ref="B112:C112"/>
    <mergeCell ref="D112:F112"/>
    <mergeCell ref="D113:F113"/>
    <mergeCell ref="B114:C114"/>
    <mergeCell ref="D114:F114"/>
    <mergeCell ref="B107:C107"/>
    <mergeCell ref="D107:F107"/>
    <mergeCell ref="D108:F108"/>
    <mergeCell ref="B109:C109"/>
    <mergeCell ref="D109:F109"/>
    <mergeCell ref="B110:C110"/>
    <mergeCell ref="D110:F110"/>
    <mergeCell ref="B118:C118"/>
    <mergeCell ref="D118:F118"/>
    <mergeCell ref="B119:C119"/>
    <mergeCell ref="D119:F119"/>
    <mergeCell ref="B120:C120"/>
    <mergeCell ref="D120:F120"/>
    <mergeCell ref="B115:C115"/>
    <mergeCell ref="D115:F115"/>
    <mergeCell ref="B116:C116"/>
    <mergeCell ref="D116:F116"/>
    <mergeCell ref="B117:C117"/>
    <mergeCell ref="D117:F117"/>
    <mergeCell ref="D124:F124"/>
    <mergeCell ref="B125:C125"/>
    <mergeCell ref="D125:F125"/>
    <mergeCell ref="B126:C126"/>
    <mergeCell ref="D126:F126"/>
    <mergeCell ref="B127:C127"/>
    <mergeCell ref="D127:F127"/>
    <mergeCell ref="B121:C121"/>
    <mergeCell ref="D121:F121"/>
    <mergeCell ref="B122:C122"/>
    <mergeCell ref="D122:F122"/>
    <mergeCell ref="B123:C123"/>
    <mergeCell ref="D123:F123"/>
    <mergeCell ref="B131:C131"/>
    <mergeCell ref="D131:F131"/>
    <mergeCell ref="B132:C132"/>
    <mergeCell ref="D132:F132"/>
    <mergeCell ref="B133:C133"/>
    <mergeCell ref="D133:F133"/>
    <mergeCell ref="B128:C128"/>
    <mergeCell ref="D128:F128"/>
    <mergeCell ref="B129:C129"/>
    <mergeCell ref="D129:F129"/>
    <mergeCell ref="B130:C130"/>
    <mergeCell ref="D130:F130"/>
    <mergeCell ref="B138:C138"/>
    <mergeCell ref="D138:F138"/>
    <mergeCell ref="B139:C139"/>
    <mergeCell ref="D139:F139"/>
    <mergeCell ref="B140:C140"/>
    <mergeCell ref="D140:F140"/>
    <mergeCell ref="B134:C134"/>
    <mergeCell ref="D134:F134"/>
    <mergeCell ref="D135:F135"/>
    <mergeCell ref="B136:C136"/>
    <mergeCell ref="D136:F136"/>
    <mergeCell ref="D137:F137"/>
    <mergeCell ref="B145:C145"/>
    <mergeCell ref="D145:F145"/>
    <mergeCell ref="B146:C146"/>
    <mergeCell ref="D146:F146"/>
    <mergeCell ref="D147:F147"/>
    <mergeCell ref="B148:C148"/>
    <mergeCell ref="D148:F148"/>
    <mergeCell ref="B141:C141"/>
    <mergeCell ref="D141:F141"/>
    <mergeCell ref="D142:F142"/>
    <mergeCell ref="B143:C143"/>
    <mergeCell ref="D143:F143"/>
    <mergeCell ref="B144:C144"/>
    <mergeCell ref="D144:F144"/>
    <mergeCell ref="B152:C152"/>
    <mergeCell ref="D152:F152"/>
    <mergeCell ref="B153:C153"/>
    <mergeCell ref="D153:F153"/>
    <mergeCell ref="B154:C154"/>
    <mergeCell ref="D154:F154"/>
    <mergeCell ref="B149:C149"/>
    <mergeCell ref="D149:F149"/>
    <mergeCell ref="B150:C150"/>
    <mergeCell ref="D150:F150"/>
    <mergeCell ref="B151:C151"/>
    <mergeCell ref="D151:F151"/>
    <mergeCell ref="D159:F159"/>
    <mergeCell ref="B160:C160"/>
    <mergeCell ref="D160:F160"/>
    <mergeCell ref="B161:C161"/>
    <mergeCell ref="D161:F161"/>
    <mergeCell ref="D162:F162"/>
    <mergeCell ref="B155:C155"/>
    <mergeCell ref="D155:F155"/>
    <mergeCell ref="B156:C156"/>
    <mergeCell ref="D156:F156"/>
    <mergeCell ref="D157:F157"/>
    <mergeCell ref="B158:C158"/>
    <mergeCell ref="D158:F158"/>
    <mergeCell ref="B166:C166"/>
    <mergeCell ref="D166:F166"/>
    <mergeCell ref="B167:C167"/>
    <mergeCell ref="D167:F167"/>
    <mergeCell ref="D168:F168"/>
    <mergeCell ref="B169:C169"/>
    <mergeCell ref="D169:F169"/>
    <mergeCell ref="B163:C163"/>
    <mergeCell ref="D163:F163"/>
    <mergeCell ref="B164:C164"/>
    <mergeCell ref="D164:F164"/>
    <mergeCell ref="B165:C165"/>
    <mergeCell ref="D165:F165"/>
    <mergeCell ref="D174:F174"/>
    <mergeCell ref="B175:C175"/>
    <mergeCell ref="D175:F175"/>
    <mergeCell ref="D176:F176"/>
    <mergeCell ref="B177:C177"/>
    <mergeCell ref="D177:F177"/>
    <mergeCell ref="B170:C170"/>
    <mergeCell ref="D170:F170"/>
    <mergeCell ref="B171:C171"/>
    <mergeCell ref="D171:F171"/>
    <mergeCell ref="D172:F172"/>
    <mergeCell ref="B173:C173"/>
    <mergeCell ref="D173:F173"/>
    <mergeCell ref="B186:C186"/>
    <mergeCell ref="B187:F187"/>
    <mergeCell ref="B188:C188"/>
    <mergeCell ref="B189:C189"/>
    <mergeCell ref="B190:C190"/>
    <mergeCell ref="B191:C191"/>
    <mergeCell ref="B178:C178"/>
    <mergeCell ref="D178:F178"/>
    <mergeCell ref="B179:C179"/>
    <mergeCell ref="B182:C182"/>
    <mergeCell ref="D183:F183"/>
    <mergeCell ref="C184:F184"/>
    <mergeCell ref="B198:C198"/>
    <mergeCell ref="B199:F199"/>
    <mergeCell ref="B200:C200"/>
    <mergeCell ref="B201:F201"/>
    <mergeCell ref="B202:F202"/>
    <mergeCell ref="B203:C203"/>
    <mergeCell ref="B192:C192"/>
    <mergeCell ref="B193:C193"/>
    <mergeCell ref="B194:C194"/>
    <mergeCell ref="B195:F195"/>
    <mergeCell ref="B196:C196"/>
    <mergeCell ref="B197:F197"/>
    <mergeCell ref="B210:C210"/>
    <mergeCell ref="B211:C211"/>
    <mergeCell ref="B212:C212"/>
    <mergeCell ref="B213:C213"/>
    <mergeCell ref="B214:C214"/>
    <mergeCell ref="B215:F215"/>
    <mergeCell ref="B204:C204"/>
    <mergeCell ref="B205:C205"/>
    <mergeCell ref="B206:C206"/>
    <mergeCell ref="B207:C207"/>
    <mergeCell ref="B208:C208"/>
    <mergeCell ref="B209:C209"/>
    <mergeCell ref="B225:C225"/>
    <mergeCell ref="B226:C226"/>
    <mergeCell ref="B227:C227"/>
    <mergeCell ref="B228:C228"/>
    <mergeCell ref="B216:C216"/>
    <mergeCell ref="B217:C217"/>
    <mergeCell ref="B218:F218"/>
    <mergeCell ref="B219:C219"/>
    <mergeCell ref="B223:F223"/>
    <mergeCell ref="B224:C224"/>
    <mergeCell ref="B221:C221"/>
    <mergeCell ref="B222:C222"/>
    <mergeCell ref="B241:C241"/>
    <mergeCell ref="B242:C242"/>
    <mergeCell ref="B243:C243"/>
    <mergeCell ref="B329:C329"/>
    <mergeCell ref="D330:F330"/>
    <mergeCell ref="B332:C332"/>
    <mergeCell ref="B230:C230"/>
    <mergeCell ref="B231:C231"/>
    <mergeCell ref="B232:C232"/>
    <mergeCell ref="B233:C233"/>
    <mergeCell ref="B234:C234"/>
    <mergeCell ref="B236:C236"/>
    <mergeCell ref="B238:C238"/>
    <mergeCell ref="B239:C239"/>
    <mergeCell ref="B240:C240"/>
    <mergeCell ref="B244:C244"/>
    <mergeCell ref="B245:C245"/>
    <mergeCell ref="B246:C246"/>
    <mergeCell ref="B247:C247"/>
    <mergeCell ref="B248:C248"/>
    <mergeCell ref="B249:C249"/>
    <mergeCell ref="B250:C250"/>
    <mergeCell ref="B251:C251"/>
    <mergeCell ref="B252:C252"/>
  </mergeCells>
  <pageMargins left="0.7" right="0.7" top="0.75" bottom="0.75" header="0.3" footer="0.3"/>
  <pageSetup paperSize="9" scale="89" fitToHeight="0" orientation="portrait" r:id="rId1"/>
  <rowBreaks count="6" manualBreakCount="6">
    <brk id="44" max="16383" man="1"/>
    <brk id="87" max="16383" man="1"/>
    <brk id="123" max="5" man="1"/>
    <brk id="161" max="5" man="1"/>
    <brk id="178" max="16383" man="1"/>
    <brk id="332" max="5" man="1"/>
  </rowBreaks>
  <colBreaks count="1" manualBreakCount="1">
    <brk id="6" max="334" man="1"/>
  </colBreaks>
  <drawing r:id="rId2"/>
  <legacyDrawing r:id="rId3"/>
  <controls>
    <mc:AlternateContent xmlns:mc="http://schemas.openxmlformats.org/markup-compatibility/2006">
      <mc:Choice Requires="x14">
        <control shapeId="5121" r:id="rId4" name="ComboBox1">
          <controlPr defaultSize="0" autoLine="0" r:id="rId5">
            <anchor moveWithCells="1">
              <from>
                <xdr:col>2</xdr:col>
                <xdr:colOff>7620</xdr:colOff>
                <xdr:row>185</xdr:row>
                <xdr:rowOff>22860</xdr:rowOff>
              </from>
              <to>
                <xdr:col>3</xdr:col>
                <xdr:colOff>0</xdr:colOff>
                <xdr:row>185</xdr:row>
                <xdr:rowOff>259080</xdr:rowOff>
              </to>
            </anchor>
          </controlPr>
        </control>
      </mc:Choice>
      <mc:Fallback>
        <control shapeId="5121" r:id="rId4" name="ComboBox1"/>
      </mc:Fallback>
    </mc:AlternateContent>
    <mc:AlternateContent xmlns:mc="http://schemas.openxmlformats.org/markup-compatibility/2006">
      <mc:Choice Requires="x14">
        <control shapeId="5122" r:id="rId6" name="optShepparton">
          <controlPr defaultSize="0" autoLine="0" r:id="rId7">
            <anchor moveWithCells="1">
              <from>
                <xdr:col>7</xdr:col>
                <xdr:colOff>342900</xdr:colOff>
                <xdr:row>173</xdr:row>
                <xdr:rowOff>22860</xdr:rowOff>
              </from>
              <to>
                <xdr:col>7</xdr:col>
                <xdr:colOff>1333500</xdr:colOff>
                <xdr:row>174</xdr:row>
                <xdr:rowOff>0</xdr:rowOff>
              </to>
            </anchor>
          </controlPr>
        </control>
      </mc:Choice>
      <mc:Fallback>
        <control shapeId="5122" r:id="rId6" name="optShepparton"/>
      </mc:Fallback>
    </mc:AlternateContent>
    <mc:AlternateContent xmlns:mc="http://schemas.openxmlformats.org/markup-compatibility/2006">
      <mc:Choice Requires="x14">
        <control shapeId="5123" r:id="rId8" name="optECHUCA">
          <controlPr defaultSize="0" autoLine="0" r:id="rId9">
            <anchor moveWithCells="1">
              <from>
                <xdr:col>7</xdr:col>
                <xdr:colOff>2247900</xdr:colOff>
                <xdr:row>173</xdr:row>
                <xdr:rowOff>22860</xdr:rowOff>
              </from>
              <to>
                <xdr:col>7</xdr:col>
                <xdr:colOff>3238500</xdr:colOff>
                <xdr:row>174</xdr:row>
                <xdr:rowOff>0</xdr:rowOff>
              </to>
            </anchor>
          </controlPr>
        </control>
      </mc:Choice>
      <mc:Fallback>
        <control shapeId="5123" r:id="rId8" name="optECHUCA"/>
      </mc:Fallback>
    </mc:AlternateContent>
    <mc:AlternateContent xmlns:mc="http://schemas.openxmlformats.org/markup-compatibility/2006">
      <mc:Choice Requires="x14">
        <control shapeId="5124" r:id="rId10" name="cmbTimePeriod">
          <controlPr defaultSize="0" autoLine="0" r:id="rId11">
            <anchor moveWithCells="1">
              <from>
                <xdr:col>7</xdr:col>
                <xdr:colOff>38100</xdr:colOff>
                <xdr:row>171</xdr:row>
                <xdr:rowOff>38100</xdr:rowOff>
              </from>
              <to>
                <xdr:col>7</xdr:col>
                <xdr:colOff>1889760</xdr:colOff>
                <xdr:row>171</xdr:row>
                <xdr:rowOff>274320</xdr:rowOff>
              </to>
            </anchor>
          </controlPr>
        </control>
      </mc:Choice>
      <mc:Fallback>
        <control shapeId="5124" r:id="rId10" name="cmbTimePeriod"/>
      </mc:Fallback>
    </mc:AlternateContent>
    <mc:AlternateContent xmlns:mc="http://schemas.openxmlformats.org/markup-compatibility/2006">
      <mc:Choice Requires="x14">
        <control shapeId="5125" r:id="rId12" name="cmdArea">
          <controlPr defaultSize="0" autoLine="0" r:id="rId13">
            <anchor moveWithCells="1">
              <from>
                <xdr:col>7</xdr:col>
                <xdr:colOff>45720</xdr:colOff>
                <xdr:row>177</xdr:row>
                <xdr:rowOff>22860</xdr:rowOff>
              </from>
              <to>
                <xdr:col>7</xdr:col>
                <xdr:colOff>1790700</xdr:colOff>
                <xdr:row>177</xdr:row>
                <xdr:rowOff>289560</xdr:rowOff>
              </to>
            </anchor>
          </controlPr>
        </control>
      </mc:Choice>
      <mc:Fallback>
        <control shapeId="5125" r:id="rId12" name="cmdArea"/>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2CA1-B3E0-4C8A-A079-6E8CDEA2BFC3}">
  <sheetPr codeName="Sheet27"/>
  <dimension ref="A1:AH108"/>
  <sheetViews>
    <sheetView workbookViewId="0">
      <selection activeCell="L8" sqref="L8"/>
    </sheetView>
  </sheetViews>
  <sheetFormatPr defaultRowHeight="14.4"/>
  <cols>
    <col min="1" max="1" width="49.109375" customWidth="1"/>
    <col min="2" max="4" width="5.6640625" customWidth="1"/>
    <col min="5" max="5" width="7.109375" customWidth="1"/>
    <col min="6" max="10" width="5.6640625" customWidth="1"/>
    <col min="11" max="11" width="5.6640625" style="312" customWidth="1"/>
    <col min="12" max="21" width="5.6640625" customWidth="1"/>
    <col min="22" max="22" width="5.88671875" customWidth="1"/>
    <col min="23" max="31" width="5.6640625" customWidth="1"/>
    <col min="32" max="32" width="15.5546875" bestFit="1" customWidth="1"/>
  </cols>
  <sheetData>
    <row r="1" spans="1:34">
      <c r="A1" t="s">
        <v>886</v>
      </c>
      <c r="B1">
        <f>+((65+65)/100)</f>
        <v>1.3</v>
      </c>
    </row>
    <row r="2" spans="1:34">
      <c r="A2" t="s">
        <v>887</v>
      </c>
      <c r="B2">
        <v>1.65</v>
      </c>
      <c r="F2" s="318" t="s">
        <v>1073</v>
      </c>
      <c r="G2" s="318"/>
      <c r="H2" s="318"/>
      <c r="I2" s="318"/>
      <c r="J2" s="318"/>
      <c r="K2" s="318"/>
    </row>
    <row r="3" spans="1:34">
      <c r="A3" t="s">
        <v>888</v>
      </c>
      <c r="B3">
        <v>1.65</v>
      </c>
    </row>
    <row r="4" spans="1:34">
      <c r="A4" t="s">
        <v>889</v>
      </c>
      <c r="B4">
        <v>1.65</v>
      </c>
    </row>
    <row r="5" spans="1:34">
      <c r="A5" t="s">
        <v>890</v>
      </c>
      <c r="B5">
        <v>4</v>
      </c>
    </row>
    <row r="6" spans="1:34">
      <c r="A6" t="s">
        <v>891</v>
      </c>
      <c r="B6">
        <v>6</v>
      </c>
    </row>
    <row r="7" spans="1:34" s="13" customFormat="1" ht="84" customHeight="1">
      <c r="B7" s="13" t="s">
        <v>892</v>
      </c>
      <c r="C7" s="13" t="s">
        <v>893</v>
      </c>
      <c r="D7" s="13" t="s">
        <v>894</v>
      </c>
      <c r="E7" s="13" t="s">
        <v>895</v>
      </c>
      <c r="F7" s="13" t="s">
        <v>896</v>
      </c>
      <c r="G7" s="13" t="s">
        <v>897</v>
      </c>
      <c r="H7" s="13" t="s">
        <v>898</v>
      </c>
      <c r="I7" s="13" t="s">
        <v>899</v>
      </c>
      <c r="K7" s="313" t="s">
        <v>900</v>
      </c>
      <c r="M7" s="13" t="s">
        <v>901</v>
      </c>
      <c r="P7" s="13" t="s">
        <v>902</v>
      </c>
      <c r="R7" s="13" t="s">
        <v>903</v>
      </c>
      <c r="T7" s="13" t="s">
        <v>904</v>
      </c>
      <c r="W7" s="13" t="s">
        <v>905</v>
      </c>
      <c r="X7" s="13" t="s">
        <v>1071</v>
      </c>
    </row>
    <row r="8" spans="1:34">
      <c r="A8" t="s">
        <v>152</v>
      </c>
      <c r="B8">
        <v>20</v>
      </c>
      <c r="C8">
        <f>+B2*2</f>
        <v>3.3</v>
      </c>
      <c r="D8">
        <v>45.45</v>
      </c>
      <c r="E8" s="294">
        <f>+C8*B8</f>
        <v>66</v>
      </c>
      <c r="F8">
        <f>+C8*B8</f>
        <v>66</v>
      </c>
      <c r="G8" s="294">
        <f t="shared" ref="G8:G35" si="0">+C8*B8*6</f>
        <v>396</v>
      </c>
      <c r="H8" s="294">
        <f>+C8*B8</f>
        <v>66</v>
      </c>
      <c r="I8">
        <v>51</v>
      </c>
      <c r="J8">
        <f t="shared" ref="J8:J36" si="1">+I8*35</f>
        <v>1785</v>
      </c>
      <c r="K8" s="312">
        <v>210</v>
      </c>
      <c r="L8">
        <f t="shared" ref="L8:L36" si="2">+K8*60</f>
        <v>12600</v>
      </c>
      <c r="M8">
        <f>+B5</f>
        <v>4</v>
      </c>
      <c r="N8">
        <f t="shared" ref="N8:N36" si="3">+B8-80</f>
        <v>-60</v>
      </c>
      <c r="O8">
        <f t="shared" ref="O8:O36" si="4">IF((N8&gt;0),(N8*M8*2),)</f>
        <v>0</v>
      </c>
      <c r="P8">
        <v>55</v>
      </c>
      <c r="Q8" s="295">
        <f t="shared" ref="Q8:Q36" si="5">+P8*8</f>
        <v>440</v>
      </c>
      <c r="R8" s="295">
        <v>44</v>
      </c>
      <c r="S8">
        <f t="shared" ref="S8:S36" si="6">+R8*9</f>
        <v>396</v>
      </c>
      <c r="T8">
        <f>+B6</f>
        <v>6</v>
      </c>
      <c r="V8">
        <f>+B4</f>
        <v>1.65</v>
      </c>
      <c r="W8">
        <f>+V8*2*B8*10</f>
        <v>660</v>
      </c>
      <c r="AF8" t="str">
        <f t="shared" ref="AF8:AF36" si="7">+A8</f>
        <v>SHEPPARTON</v>
      </c>
    </row>
    <row r="9" spans="1:34">
      <c r="A9" t="s">
        <v>200</v>
      </c>
      <c r="B9">
        <v>120</v>
      </c>
      <c r="C9">
        <f>+C8</f>
        <v>3.3</v>
      </c>
      <c r="D9">
        <v>150</v>
      </c>
      <c r="E9" s="294">
        <f>+C9*B9</f>
        <v>396</v>
      </c>
      <c r="F9">
        <f t="shared" ref="F9:F36" si="8">+C9*B9</f>
        <v>396</v>
      </c>
      <c r="G9" s="294">
        <f t="shared" si="0"/>
        <v>2376</v>
      </c>
      <c r="H9" s="294">
        <f t="shared" ref="H9:H36" si="9">+C9*B9</f>
        <v>396</v>
      </c>
      <c r="I9">
        <v>85</v>
      </c>
      <c r="J9">
        <f t="shared" si="1"/>
        <v>2975</v>
      </c>
      <c r="K9" s="312">
        <v>287</v>
      </c>
      <c r="L9">
        <f t="shared" si="2"/>
        <v>17220</v>
      </c>
      <c r="M9">
        <f t="shared" ref="M9:M36" si="10">+M8</f>
        <v>4</v>
      </c>
      <c r="N9">
        <f t="shared" si="3"/>
        <v>40</v>
      </c>
      <c r="O9">
        <f t="shared" si="4"/>
        <v>320</v>
      </c>
      <c r="P9">
        <v>65</v>
      </c>
      <c r="Q9" s="295">
        <f t="shared" si="5"/>
        <v>520</v>
      </c>
      <c r="R9">
        <v>80</v>
      </c>
      <c r="S9">
        <f t="shared" si="6"/>
        <v>720</v>
      </c>
      <c r="T9">
        <f t="shared" ref="T9:T36" si="11">+T8</f>
        <v>6</v>
      </c>
      <c r="U9">
        <f>+IF(((B9-80)&gt;0),((B9-80)*T9),0)</f>
        <v>240</v>
      </c>
      <c r="V9">
        <f>+V8</f>
        <v>1.65</v>
      </c>
      <c r="W9">
        <f t="shared" ref="W9:W36" si="12">+V9*2*B9*10</f>
        <v>3960</v>
      </c>
      <c r="X9">
        <v>2</v>
      </c>
      <c r="Y9">
        <f>+X9*B9</f>
        <v>240</v>
      </c>
      <c r="AF9" t="str">
        <f t="shared" si="7"/>
        <v>ALEXANDRA</v>
      </c>
      <c r="AG9">
        <f>+C95-B95</f>
        <v>30199.75</v>
      </c>
      <c r="AH9" s="247">
        <f>+CEILING(AG9*1.36,10)</f>
        <v>41080</v>
      </c>
    </row>
    <row r="10" spans="1:34">
      <c r="A10" t="s">
        <v>201</v>
      </c>
      <c r="B10">
        <v>71</v>
      </c>
      <c r="C10">
        <f>+C9</f>
        <v>3.3</v>
      </c>
      <c r="D10">
        <v>110</v>
      </c>
      <c r="E10" s="294">
        <f t="shared" ref="E10:E36" si="13">+C10*B10</f>
        <v>234.29999999999998</v>
      </c>
      <c r="F10">
        <f t="shared" si="8"/>
        <v>234.29999999999998</v>
      </c>
      <c r="G10" s="294">
        <f t="shared" si="0"/>
        <v>1405.8</v>
      </c>
      <c r="H10" s="294">
        <f t="shared" si="9"/>
        <v>234.29999999999998</v>
      </c>
      <c r="I10">
        <v>65</v>
      </c>
      <c r="J10">
        <f t="shared" si="1"/>
        <v>2275</v>
      </c>
      <c r="K10" s="312">
        <v>210</v>
      </c>
      <c r="L10">
        <f t="shared" si="2"/>
        <v>12600</v>
      </c>
      <c r="M10">
        <f t="shared" si="10"/>
        <v>4</v>
      </c>
      <c r="N10">
        <f t="shared" si="3"/>
        <v>-9</v>
      </c>
      <c r="O10">
        <f t="shared" si="4"/>
        <v>0</v>
      </c>
      <c r="P10">
        <v>55</v>
      </c>
      <c r="Q10" s="295">
        <f t="shared" si="5"/>
        <v>440</v>
      </c>
      <c r="R10">
        <v>56</v>
      </c>
      <c r="S10">
        <f t="shared" si="6"/>
        <v>504</v>
      </c>
      <c r="T10">
        <f t="shared" si="11"/>
        <v>6</v>
      </c>
      <c r="U10">
        <f t="shared" ref="U10:U36" si="14">+IF(((B10-80)&gt;0),((B10-80)*T10),0)</f>
        <v>0</v>
      </c>
      <c r="V10">
        <f t="shared" ref="V10:V36" si="15">+V9</f>
        <v>1.65</v>
      </c>
      <c r="W10">
        <f t="shared" si="12"/>
        <v>2343</v>
      </c>
      <c r="X10">
        <v>2</v>
      </c>
      <c r="Y10">
        <f t="shared" ref="Y10:Y36" si="16">+X10*B10</f>
        <v>142</v>
      </c>
      <c r="AF10" t="str">
        <f t="shared" si="7"/>
        <v>AVENEL</v>
      </c>
      <c r="AG10">
        <f>+D95-B95</f>
        <v>11128.05</v>
      </c>
      <c r="AH10" s="247">
        <f t="shared" ref="AH10:AH36" si="17">+CEILING(AG10*1.36,10)</f>
        <v>15140</v>
      </c>
    </row>
    <row r="11" spans="1:34">
      <c r="A11" t="s">
        <v>202</v>
      </c>
      <c r="B11">
        <v>62</v>
      </c>
      <c r="C11">
        <f t="shared" ref="C11:C35" si="18">+C10</f>
        <v>3.3</v>
      </c>
      <c r="D11">
        <v>70</v>
      </c>
      <c r="E11" s="294">
        <f t="shared" si="13"/>
        <v>204.6</v>
      </c>
      <c r="F11">
        <f t="shared" si="8"/>
        <v>204.6</v>
      </c>
      <c r="G11" s="294">
        <f t="shared" si="0"/>
        <v>1227.5999999999999</v>
      </c>
      <c r="H11" s="294">
        <f t="shared" si="9"/>
        <v>204.6</v>
      </c>
      <c r="I11">
        <v>65</v>
      </c>
      <c r="J11">
        <f t="shared" si="1"/>
        <v>2275</v>
      </c>
      <c r="K11" s="312">
        <v>235</v>
      </c>
      <c r="L11">
        <f t="shared" si="2"/>
        <v>14100</v>
      </c>
      <c r="M11">
        <f t="shared" si="10"/>
        <v>4</v>
      </c>
      <c r="N11">
        <f t="shared" si="3"/>
        <v>-18</v>
      </c>
      <c r="O11">
        <f t="shared" si="4"/>
        <v>0</v>
      </c>
      <c r="P11">
        <v>55</v>
      </c>
      <c r="Q11" s="295">
        <f t="shared" si="5"/>
        <v>440</v>
      </c>
      <c r="R11">
        <v>54</v>
      </c>
      <c r="S11">
        <f t="shared" si="6"/>
        <v>486</v>
      </c>
      <c r="T11">
        <f t="shared" si="11"/>
        <v>6</v>
      </c>
      <c r="U11">
        <f t="shared" si="14"/>
        <v>0</v>
      </c>
      <c r="V11">
        <f t="shared" si="15"/>
        <v>1.65</v>
      </c>
      <c r="W11">
        <f t="shared" si="12"/>
        <v>2046</v>
      </c>
      <c r="X11">
        <v>2</v>
      </c>
      <c r="Y11">
        <f t="shared" si="16"/>
        <v>124</v>
      </c>
      <c r="AF11" t="str">
        <f t="shared" si="7"/>
        <v>BENALLA</v>
      </c>
      <c r="AG11">
        <f>+E95-B95</f>
        <v>10508.349999999999</v>
      </c>
      <c r="AH11" s="247">
        <f t="shared" si="17"/>
        <v>14300</v>
      </c>
    </row>
    <row r="12" spans="1:34">
      <c r="A12" t="s">
        <v>203</v>
      </c>
      <c r="B12">
        <v>71</v>
      </c>
      <c r="C12">
        <f t="shared" si="18"/>
        <v>3.3</v>
      </c>
      <c r="D12">
        <v>70</v>
      </c>
      <c r="E12" s="294">
        <f t="shared" si="13"/>
        <v>234.29999999999998</v>
      </c>
      <c r="F12">
        <f t="shared" si="8"/>
        <v>234.29999999999998</v>
      </c>
      <c r="G12" s="294">
        <f t="shared" si="0"/>
        <v>1405.8</v>
      </c>
      <c r="H12" s="294">
        <f t="shared" si="9"/>
        <v>234.29999999999998</v>
      </c>
      <c r="I12">
        <v>65</v>
      </c>
      <c r="J12">
        <f t="shared" si="1"/>
        <v>2275</v>
      </c>
      <c r="K12" s="312">
        <v>220</v>
      </c>
      <c r="L12">
        <f t="shared" si="2"/>
        <v>13200</v>
      </c>
      <c r="M12">
        <f t="shared" si="10"/>
        <v>4</v>
      </c>
      <c r="N12">
        <f t="shared" si="3"/>
        <v>-9</v>
      </c>
      <c r="O12">
        <f t="shared" si="4"/>
        <v>0</v>
      </c>
      <c r="P12">
        <v>70</v>
      </c>
      <c r="Q12" s="295">
        <f t="shared" si="5"/>
        <v>560</v>
      </c>
      <c r="R12">
        <v>54</v>
      </c>
      <c r="S12">
        <f t="shared" si="6"/>
        <v>486</v>
      </c>
      <c r="T12">
        <f t="shared" si="11"/>
        <v>6</v>
      </c>
      <c r="U12">
        <f t="shared" si="14"/>
        <v>0</v>
      </c>
      <c r="V12">
        <f t="shared" si="15"/>
        <v>1.65</v>
      </c>
      <c r="W12">
        <f t="shared" si="12"/>
        <v>2343</v>
      </c>
      <c r="X12">
        <v>2</v>
      </c>
      <c r="Y12">
        <f t="shared" si="16"/>
        <v>142</v>
      </c>
      <c r="AF12" t="str">
        <f t="shared" si="7"/>
        <v>COBRAM</v>
      </c>
      <c r="AG12">
        <f>+F95-B95</f>
        <v>10430.049999999999</v>
      </c>
      <c r="AH12" s="247">
        <f t="shared" si="17"/>
        <v>14190</v>
      </c>
    </row>
    <row r="13" spans="1:34">
      <c r="A13" t="s">
        <v>204</v>
      </c>
      <c r="B13">
        <v>135</v>
      </c>
      <c r="C13">
        <f t="shared" si="18"/>
        <v>3.3</v>
      </c>
      <c r="D13" s="233">
        <f>+D9</f>
        <v>150</v>
      </c>
      <c r="E13" s="294">
        <f t="shared" si="13"/>
        <v>445.5</v>
      </c>
      <c r="F13">
        <f t="shared" si="8"/>
        <v>445.5</v>
      </c>
      <c r="G13" s="294">
        <f t="shared" si="0"/>
        <v>2673</v>
      </c>
      <c r="H13" s="294">
        <f t="shared" si="9"/>
        <v>445.5</v>
      </c>
      <c r="I13">
        <v>85</v>
      </c>
      <c r="J13">
        <f t="shared" si="1"/>
        <v>2975</v>
      </c>
      <c r="K13" s="312">
        <v>345</v>
      </c>
      <c r="L13">
        <f t="shared" si="2"/>
        <v>20700</v>
      </c>
      <c r="M13">
        <f t="shared" si="10"/>
        <v>4</v>
      </c>
      <c r="N13">
        <f t="shared" si="3"/>
        <v>55</v>
      </c>
      <c r="O13">
        <f t="shared" si="4"/>
        <v>440</v>
      </c>
      <c r="P13">
        <v>80</v>
      </c>
      <c r="Q13" s="295">
        <f t="shared" si="5"/>
        <v>640</v>
      </c>
      <c r="R13">
        <v>80</v>
      </c>
      <c r="S13">
        <f t="shared" si="6"/>
        <v>720</v>
      </c>
      <c r="T13">
        <f t="shared" si="11"/>
        <v>6</v>
      </c>
      <c r="U13">
        <f t="shared" si="14"/>
        <v>330</v>
      </c>
      <c r="V13">
        <f t="shared" si="15"/>
        <v>1.65</v>
      </c>
      <c r="W13">
        <f t="shared" si="12"/>
        <v>4455</v>
      </c>
      <c r="X13">
        <v>2</v>
      </c>
      <c r="Y13">
        <f t="shared" si="16"/>
        <v>270</v>
      </c>
      <c r="AF13" t="str">
        <f t="shared" si="7"/>
        <v>COHUNA</v>
      </c>
      <c r="AG13">
        <f>+G95-B95</f>
        <v>34627.25</v>
      </c>
      <c r="AH13" s="247">
        <f t="shared" si="17"/>
        <v>47100</v>
      </c>
    </row>
    <row r="14" spans="1:34">
      <c r="A14" t="s">
        <v>205</v>
      </c>
      <c r="B14">
        <v>137</v>
      </c>
      <c r="C14">
        <f t="shared" si="18"/>
        <v>3.3</v>
      </c>
      <c r="D14" s="233">
        <f>+D13</f>
        <v>150</v>
      </c>
      <c r="E14" s="294">
        <f t="shared" si="13"/>
        <v>452.09999999999997</v>
      </c>
      <c r="F14">
        <f t="shared" si="8"/>
        <v>452.09999999999997</v>
      </c>
      <c r="G14" s="294">
        <f t="shared" si="0"/>
        <v>2712.6</v>
      </c>
      <c r="H14" s="294">
        <f t="shared" si="9"/>
        <v>452.09999999999997</v>
      </c>
      <c r="I14">
        <v>85</v>
      </c>
      <c r="J14">
        <f t="shared" si="1"/>
        <v>2975</v>
      </c>
      <c r="K14" s="312">
        <v>358</v>
      </c>
      <c r="L14">
        <f t="shared" si="2"/>
        <v>21480</v>
      </c>
      <c r="M14">
        <f t="shared" si="10"/>
        <v>4</v>
      </c>
      <c r="N14">
        <f t="shared" si="3"/>
        <v>57</v>
      </c>
      <c r="O14">
        <f t="shared" si="4"/>
        <v>456</v>
      </c>
      <c r="P14">
        <v>80</v>
      </c>
      <c r="Q14" s="295">
        <f t="shared" si="5"/>
        <v>640</v>
      </c>
      <c r="R14">
        <v>80</v>
      </c>
      <c r="S14">
        <f t="shared" si="6"/>
        <v>720</v>
      </c>
      <c r="T14">
        <f t="shared" si="11"/>
        <v>6</v>
      </c>
      <c r="U14">
        <f t="shared" si="14"/>
        <v>342</v>
      </c>
      <c r="V14">
        <f t="shared" si="15"/>
        <v>1.65</v>
      </c>
      <c r="W14">
        <f t="shared" si="12"/>
        <v>4521</v>
      </c>
      <c r="X14">
        <v>2</v>
      </c>
      <c r="Y14">
        <f t="shared" si="16"/>
        <v>274</v>
      </c>
      <c r="AF14" t="str">
        <f t="shared" si="7"/>
        <v>DENILIQUIN</v>
      </c>
      <c r="AG14">
        <f>+H95-B95</f>
        <v>36237.85</v>
      </c>
      <c r="AH14" s="247">
        <f>+CEILING(AG14*1.36,10)+D108</f>
        <v>57490</v>
      </c>
    </row>
    <row r="15" spans="1:34">
      <c r="A15" s="296" t="s">
        <v>191</v>
      </c>
      <c r="B15">
        <v>71</v>
      </c>
      <c r="C15">
        <f t="shared" si="18"/>
        <v>3.3</v>
      </c>
      <c r="D15">
        <v>80</v>
      </c>
      <c r="E15" s="294">
        <f t="shared" si="13"/>
        <v>234.29999999999998</v>
      </c>
      <c r="F15">
        <f t="shared" si="8"/>
        <v>234.29999999999998</v>
      </c>
      <c r="G15" s="294">
        <f t="shared" si="0"/>
        <v>1405.8</v>
      </c>
      <c r="H15" s="294">
        <f t="shared" si="9"/>
        <v>234.29999999999998</v>
      </c>
      <c r="I15">
        <v>63</v>
      </c>
      <c r="J15">
        <f t="shared" si="1"/>
        <v>2205</v>
      </c>
      <c r="K15" s="312">
        <v>230</v>
      </c>
      <c r="L15">
        <f t="shared" si="2"/>
        <v>13800</v>
      </c>
      <c r="M15">
        <f t="shared" si="10"/>
        <v>4</v>
      </c>
      <c r="N15">
        <f t="shared" si="3"/>
        <v>-9</v>
      </c>
      <c r="O15">
        <f t="shared" si="4"/>
        <v>0</v>
      </c>
      <c r="P15">
        <v>60</v>
      </c>
      <c r="Q15" s="295">
        <f t="shared" si="5"/>
        <v>480</v>
      </c>
      <c r="R15">
        <v>55</v>
      </c>
      <c r="S15">
        <f t="shared" si="6"/>
        <v>495</v>
      </c>
      <c r="T15">
        <f t="shared" si="11"/>
        <v>6</v>
      </c>
      <c r="U15">
        <f t="shared" si="14"/>
        <v>0</v>
      </c>
      <c r="V15">
        <f t="shared" si="15"/>
        <v>1.65</v>
      </c>
      <c r="W15">
        <f t="shared" si="12"/>
        <v>2343</v>
      </c>
      <c r="X15">
        <v>2</v>
      </c>
      <c r="Y15">
        <f t="shared" si="16"/>
        <v>142</v>
      </c>
      <c r="AF15" t="str">
        <f t="shared" si="7"/>
        <v>ECHUCA</v>
      </c>
      <c r="AG15">
        <f>+I95-B95</f>
        <v>10112.049999999999</v>
      </c>
      <c r="AH15" s="247">
        <f t="shared" si="17"/>
        <v>13760</v>
      </c>
    </row>
    <row r="16" spans="1:34">
      <c r="A16" t="s">
        <v>206</v>
      </c>
      <c r="B16">
        <v>49</v>
      </c>
      <c r="C16">
        <f t="shared" si="18"/>
        <v>3.3</v>
      </c>
      <c r="D16">
        <v>90</v>
      </c>
      <c r="E16" s="294">
        <f t="shared" si="13"/>
        <v>161.69999999999999</v>
      </c>
      <c r="F16">
        <f t="shared" si="8"/>
        <v>161.69999999999999</v>
      </c>
      <c r="G16" s="294">
        <f t="shared" si="0"/>
        <v>970.19999999999993</v>
      </c>
      <c r="H16" s="294">
        <f t="shared" si="9"/>
        <v>161.69999999999999</v>
      </c>
      <c r="I16">
        <v>63</v>
      </c>
      <c r="J16">
        <f t="shared" si="1"/>
        <v>2205</v>
      </c>
      <c r="K16" s="312">
        <v>257</v>
      </c>
      <c r="L16">
        <f t="shared" si="2"/>
        <v>15420</v>
      </c>
      <c r="M16">
        <f t="shared" si="10"/>
        <v>4</v>
      </c>
      <c r="N16">
        <f t="shared" si="3"/>
        <v>-31</v>
      </c>
      <c r="O16">
        <f t="shared" si="4"/>
        <v>0</v>
      </c>
      <c r="P16">
        <v>55</v>
      </c>
      <c r="Q16" s="295">
        <f t="shared" si="5"/>
        <v>440</v>
      </c>
      <c r="R16">
        <v>52</v>
      </c>
      <c r="S16">
        <f t="shared" si="6"/>
        <v>468</v>
      </c>
      <c r="T16">
        <f t="shared" si="11"/>
        <v>6</v>
      </c>
      <c r="U16">
        <f t="shared" si="14"/>
        <v>0</v>
      </c>
      <c r="V16">
        <f t="shared" si="15"/>
        <v>1.65</v>
      </c>
      <c r="W16">
        <f t="shared" si="12"/>
        <v>1617</v>
      </c>
      <c r="X16">
        <v>2</v>
      </c>
      <c r="Y16">
        <f t="shared" si="16"/>
        <v>98</v>
      </c>
      <c r="AF16" t="str">
        <f t="shared" si="7"/>
        <v>EUROA</v>
      </c>
      <c r="AG16">
        <f>+J95-B95</f>
        <v>8150.4500000000007</v>
      </c>
      <c r="AH16" s="247">
        <f t="shared" si="17"/>
        <v>11090</v>
      </c>
    </row>
    <row r="17" spans="1:34">
      <c r="A17" t="s">
        <v>207</v>
      </c>
      <c r="B17">
        <v>101</v>
      </c>
      <c r="C17">
        <f t="shared" si="18"/>
        <v>3.3</v>
      </c>
      <c r="D17" s="233">
        <f>+D13</f>
        <v>150</v>
      </c>
      <c r="E17" s="294">
        <f t="shared" si="13"/>
        <v>333.29999999999995</v>
      </c>
      <c r="F17">
        <f t="shared" si="8"/>
        <v>333.29999999999995</v>
      </c>
      <c r="G17" s="294">
        <f t="shared" si="0"/>
        <v>1999.7999999999997</v>
      </c>
      <c r="H17" s="294">
        <f t="shared" si="9"/>
        <v>333.29999999999995</v>
      </c>
      <c r="I17">
        <v>85</v>
      </c>
      <c r="J17">
        <f t="shared" si="1"/>
        <v>2975</v>
      </c>
      <c r="K17" s="312">
        <v>247</v>
      </c>
      <c r="L17">
        <f t="shared" si="2"/>
        <v>14820</v>
      </c>
      <c r="M17">
        <f t="shared" si="10"/>
        <v>4</v>
      </c>
      <c r="N17">
        <f t="shared" si="3"/>
        <v>21</v>
      </c>
      <c r="O17">
        <f t="shared" si="4"/>
        <v>168</v>
      </c>
      <c r="P17">
        <v>80</v>
      </c>
      <c r="Q17" s="295">
        <f t="shared" si="5"/>
        <v>640</v>
      </c>
      <c r="R17">
        <v>80</v>
      </c>
      <c r="S17">
        <f t="shared" si="6"/>
        <v>720</v>
      </c>
      <c r="T17">
        <f t="shared" si="11"/>
        <v>6</v>
      </c>
      <c r="U17">
        <f t="shared" si="14"/>
        <v>126</v>
      </c>
      <c r="V17">
        <f t="shared" si="15"/>
        <v>1.65</v>
      </c>
      <c r="W17">
        <f t="shared" si="12"/>
        <v>3332.9999999999995</v>
      </c>
      <c r="X17">
        <v>2</v>
      </c>
      <c r="Y17">
        <f t="shared" si="16"/>
        <v>202</v>
      </c>
      <c r="AF17" t="str">
        <f t="shared" si="7"/>
        <v>FINLEY</v>
      </c>
      <c r="AG17">
        <f>+K95-B95</f>
        <v>23952.050000000003</v>
      </c>
      <c r="AH17" s="247">
        <f>+CEILING(AG17*1.36,10)+D108</f>
        <v>40780</v>
      </c>
    </row>
    <row r="18" spans="1:34">
      <c r="A18" t="s">
        <v>208</v>
      </c>
      <c r="B18">
        <v>29</v>
      </c>
      <c r="C18">
        <f t="shared" si="18"/>
        <v>3.3</v>
      </c>
      <c r="D18" s="233">
        <f>+D10</f>
        <v>110</v>
      </c>
      <c r="E18" s="294">
        <f t="shared" si="13"/>
        <v>95.699999999999989</v>
      </c>
      <c r="F18">
        <f t="shared" si="8"/>
        <v>95.699999999999989</v>
      </c>
      <c r="G18" s="294">
        <f t="shared" si="0"/>
        <v>574.19999999999993</v>
      </c>
      <c r="H18" s="294">
        <f t="shared" si="9"/>
        <v>95.699999999999989</v>
      </c>
      <c r="I18">
        <v>65</v>
      </c>
      <c r="J18">
        <f t="shared" si="1"/>
        <v>2275</v>
      </c>
      <c r="K18" s="312">
        <v>223</v>
      </c>
      <c r="L18">
        <f t="shared" si="2"/>
        <v>13380</v>
      </c>
      <c r="M18">
        <f t="shared" si="10"/>
        <v>4</v>
      </c>
      <c r="N18">
        <f t="shared" si="3"/>
        <v>-51</v>
      </c>
      <c r="O18">
        <f t="shared" si="4"/>
        <v>0</v>
      </c>
      <c r="P18">
        <v>65</v>
      </c>
      <c r="Q18" s="295">
        <f t="shared" si="5"/>
        <v>520</v>
      </c>
      <c r="R18">
        <v>60</v>
      </c>
      <c r="S18">
        <f t="shared" si="6"/>
        <v>540</v>
      </c>
      <c r="T18">
        <f t="shared" si="11"/>
        <v>6</v>
      </c>
      <c r="U18">
        <f t="shared" si="14"/>
        <v>0</v>
      </c>
      <c r="V18">
        <f t="shared" si="15"/>
        <v>1.65</v>
      </c>
      <c r="W18">
        <f t="shared" si="12"/>
        <v>956.99999999999989</v>
      </c>
      <c r="X18">
        <v>2</v>
      </c>
      <c r="Y18">
        <f t="shared" si="16"/>
        <v>58</v>
      </c>
      <c r="AF18" t="str">
        <f t="shared" si="7"/>
        <v>KATANDRA</v>
      </c>
      <c r="AG18">
        <f>+L95-B95</f>
        <v>5731.4500000000007</v>
      </c>
      <c r="AH18" s="247">
        <f t="shared" si="17"/>
        <v>7800</v>
      </c>
    </row>
    <row r="19" spans="1:34">
      <c r="A19" t="s">
        <v>209</v>
      </c>
      <c r="B19">
        <v>158</v>
      </c>
      <c r="C19">
        <f t="shared" si="18"/>
        <v>3.3</v>
      </c>
      <c r="D19" s="233">
        <f>+D14</f>
        <v>150</v>
      </c>
      <c r="E19" s="294">
        <f t="shared" si="13"/>
        <v>521.4</v>
      </c>
      <c r="F19">
        <f t="shared" si="8"/>
        <v>521.4</v>
      </c>
      <c r="G19" s="294">
        <f t="shared" si="0"/>
        <v>3128.3999999999996</v>
      </c>
      <c r="H19" s="294">
        <f t="shared" si="9"/>
        <v>521.4</v>
      </c>
      <c r="I19">
        <v>85</v>
      </c>
      <c r="J19">
        <f t="shared" si="1"/>
        <v>2975</v>
      </c>
      <c r="K19" s="312">
        <v>345</v>
      </c>
      <c r="L19">
        <f t="shared" si="2"/>
        <v>20700</v>
      </c>
      <c r="M19">
        <f t="shared" si="10"/>
        <v>4</v>
      </c>
      <c r="N19">
        <f t="shared" si="3"/>
        <v>78</v>
      </c>
      <c r="O19">
        <f t="shared" si="4"/>
        <v>624</v>
      </c>
      <c r="P19">
        <v>80</v>
      </c>
      <c r="Q19" s="295">
        <f t="shared" si="5"/>
        <v>640</v>
      </c>
      <c r="R19">
        <v>80</v>
      </c>
      <c r="S19">
        <f t="shared" si="6"/>
        <v>720</v>
      </c>
      <c r="T19">
        <f t="shared" si="11"/>
        <v>6</v>
      </c>
      <c r="U19">
        <f t="shared" si="14"/>
        <v>468</v>
      </c>
      <c r="V19">
        <f t="shared" si="15"/>
        <v>1.65</v>
      </c>
      <c r="W19">
        <f t="shared" si="12"/>
        <v>5214</v>
      </c>
      <c r="X19">
        <v>2</v>
      </c>
      <c r="Y19">
        <f t="shared" si="16"/>
        <v>316</v>
      </c>
      <c r="AF19" t="str">
        <f t="shared" si="7"/>
        <v>KOONDROOK</v>
      </c>
      <c r="AG19">
        <f>+M95-B95</f>
        <v>37089.15</v>
      </c>
      <c r="AH19" s="247">
        <f t="shared" si="17"/>
        <v>50450</v>
      </c>
    </row>
    <row r="20" spans="1:34">
      <c r="A20" t="s">
        <v>211</v>
      </c>
      <c r="B20">
        <v>37</v>
      </c>
      <c r="C20">
        <f t="shared" si="18"/>
        <v>3.3</v>
      </c>
      <c r="D20">
        <v>50</v>
      </c>
      <c r="E20" s="294">
        <f t="shared" si="13"/>
        <v>122.1</v>
      </c>
      <c r="F20">
        <f t="shared" si="8"/>
        <v>122.1</v>
      </c>
      <c r="G20" s="294">
        <f t="shared" si="0"/>
        <v>732.59999999999991</v>
      </c>
      <c r="H20" s="294">
        <f t="shared" si="9"/>
        <v>122.1</v>
      </c>
      <c r="I20">
        <v>63</v>
      </c>
      <c r="J20">
        <f t="shared" si="1"/>
        <v>2205</v>
      </c>
      <c r="K20" s="312">
        <v>230</v>
      </c>
      <c r="L20">
        <f t="shared" si="2"/>
        <v>13800</v>
      </c>
      <c r="M20">
        <f t="shared" si="10"/>
        <v>4</v>
      </c>
      <c r="N20">
        <f t="shared" si="3"/>
        <v>-43</v>
      </c>
      <c r="O20">
        <f t="shared" si="4"/>
        <v>0</v>
      </c>
      <c r="P20">
        <v>75</v>
      </c>
      <c r="Q20" s="295">
        <f t="shared" si="5"/>
        <v>600</v>
      </c>
      <c r="R20">
        <v>52</v>
      </c>
      <c r="S20">
        <f t="shared" si="6"/>
        <v>468</v>
      </c>
      <c r="T20">
        <f t="shared" si="11"/>
        <v>6</v>
      </c>
      <c r="U20">
        <f t="shared" si="14"/>
        <v>0</v>
      </c>
      <c r="V20">
        <f t="shared" si="15"/>
        <v>1.65</v>
      </c>
      <c r="W20">
        <f t="shared" si="12"/>
        <v>1221</v>
      </c>
      <c r="X20">
        <v>2</v>
      </c>
      <c r="Y20">
        <f t="shared" si="16"/>
        <v>74</v>
      </c>
      <c r="AF20" t="str">
        <f t="shared" si="7"/>
        <v>KYABRAM</v>
      </c>
      <c r="AG20">
        <f>+N95-B95</f>
        <v>4414.8499999999985</v>
      </c>
      <c r="AH20" s="247">
        <f t="shared" si="17"/>
        <v>6010</v>
      </c>
    </row>
    <row r="21" spans="1:34">
      <c r="A21" t="s">
        <v>212</v>
      </c>
      <c r="B21">
        <v>125</v>
      </c>
      <c r="C21">
        <f t="shared" si="18"/>
        <v>3.3</v>
      </c>
      <c r="D21">
        <v>110</v>
      </c>
      <c r="E21" s="294">
        <f t="shared" si="13"/>
        <v>412.5</v>
      </c>
      <c r="F21">
        <f t="shared" si="8"/>
        <v>412.5</v>
      </c>
      <c r="G21" s="294">
        <f t="shared" si="0"/>
        <v>2475</v>
      </c>
      <c r="H21" s="294">
        <f t="shared" si="9"/>
        <v>412.5</v>
      </c>
      <c r="I21">
        <v>85</v>
      </c>
      <c r="J21">
        <f t="shared" si="1"/>
        <v>2975</v>
      </c>
      <c r="K21" s="312">
        <v>279</v>
      </c>
      <c r="L21">
        <f t="shared" si="2"/>
        <v>16740</v>
      </c>
      <c r="M21">
        <f t="shared" si="10"/>
        <v>4</v>
      </c>
      <c r="N21">
        <f t="shared" si="3"/>
        <v>45</v>
      </c>
      <c r="O21">
        <f t="shared" si="4"/>
        <v>360</v>
      </c>
      <c r="P21">
        <v>70</v>
      </c>
      <c r="Q21" s="295">
        <f t="shared" si="5"/>
        <v>560</v>
      </c>
      <c r="R21">
        <v>80</v>
      </c>
      <c r="S21">
        <f t="shared" si="6"/>
        <v>720</v>
      </c>
      <c r="T21">
        <f t="shared" si="11"/>
        <v>6</v>
      </c>
      <c r="U21">
        <f t="shared" si="14"/>
        <v>270</v>
      </c>
      <c r="V21">
        <f t="shared" si="15"/>
        <v>1.65</v>
      </c>
      <c r="W21">
        <f t="shared" si="12"/>
        <v>4125</v>
      </c>
      <c r="X21">
        <v>2</v>
      </c>
      <c r="Y21">
        <f t="shared" si="16"/>
        <v>250</v>
      </c>
      <c r="AF21" t="str">
        <f t="shared" si="7"/>
        <v>MANSFIELD</v>
      </c>
      <c r="AG21">
        <f>+O95-B95</f>
        <v>31674.25</v>
      </c>
      <c r="AH21" s="247">
        <f t="shared" si="17"/>
        <v>43080</v>
      </c>
    </row>
    <row r="22" spans="1:34">
      <c r="A22" t="s">
        <v>687</v>
      </c>
      <c r="B22">
        <v>103</v>
      </c>
      <c r="C22">
        <f t="shared" si="18"/>
        <v>3.3</v>
      </c>
      <c r="D22" s="233">
        <f>+D19</f>
        <v>150</v>
      </c>
      <c r="E22" s="294">
        <f t="shared" si="13"/>
        <v>339.9</v>
      </c>
      <c r="F22">
        <f t="shared" si="8"/>
        <v>339.9</v>
      </c>
      <c r="G22" s="294">
        <f t="shared" si="0"/>
        <v>2039.3999999999999</v>
      </c>
      <c r="H22" s="294">
        <f t="shared" si="9"/>
        <v>339.9</v>
      </c>
      <c r="I22">
        <v>85</v>
      </c>
      <c r="J22">
        <f t="shared" si="1"/>
        <v>2975</v>
      </c>
      <c r="K22" s="312">
        <f>+K14</f>
        <v>358</v>
      </c>
      <c r="L22">
        <f t="shared" si="2"/>
        <v>21480</v>
      </c>
      <c r="M22">
        <f t="shared" si="10"/>
        <v>4</v>
      </c>
      <c r="N22">
        <f t="shared" si="3"/>
        <v>23</v>
      </c>
      <c r="O22">
        <f t="shared" si="4"/>
        <v>184</v>
      </c>
      <c r="P22">
        <v>80</v>
      </c>
      <c r="Q22" s="295">
        <f t="shared" si="5"/>
        <v>640</v>
      </c>
      <c r="R22">
        <v>80</v>
      </c>
      <c r="S22">
        <f t="shared" si="6"/>
        <v>720</v>
      </c>
      <c r="T22">
        <f t="shared" si="11"/>
        <v>6</v>
      </c>
      <c r="U22">
        <f t="shared" si="14"/>
        <v>138</v>
      </c>
      <c r="V22">
        <f t="shared" si="15"/>
        <v>1.65</v>
      </c>
      <c r="W22">
        <f t="shared" si="12"/>
        <v>3399</v>
      </c>
      <c r="X22">
        <v>2</v>
      </c>
      <c r="Y22">
        <f t="shared" si="16"/>
        <v>206</v>
      </c>
      <c r="AF22" t="str">
        <f t="shared" si="7"/>
        <v>MATHOURA</v>
      </c>
      <c r="AG22">
        <f>+P95-B95</f>
        <v>31664.65</v>
      </c>
      <c r="AH22" s="247">
        <f>+CEILING(AG22*1.36,10)+D108</f>
        <v>51270</v>
      </c>
    </row>
    <row r="23" spans="1:34">
      <c r="A23" t="s">
        <v>213</v>
      </c>
      <c r="B23">
        <v>43</v>
      </c>
      <c r="C23">
        <f t="shared" si="18"/>
        <v>3.3</v>
      </c>
      <c r="D23">
        <v>90</v>
      </c>
      <c r="E23" s="294">
        <f t="shared" si="13"/>
        <v>141.9</v>
      </c>
      <c r="F23">
        <f t="shared" si="8"/>
        <v>141.9</v>
      </c>
      <c r="G23" s="294">
        <f t="shared" si="0"/>
        <v>851.40000000000009</v>
      </c>
      <c r="H23" s="294">
        <f t="shared" si="9"/>
        <v>141.9</v>
      </c>
      <c r="I23">
        <v>65</v>
      </c>
      <c r="J23">
        <f t="shared" si="1"/>
        <v>2275</v>
      </c>
      <c r="K23" s="312">
        <v>218</v>
      </c>
      <c r="L23">
        <f t="shared" si="2"/>
        <v>13080</v>
      </c>
      <c r="M23">
        <f t="shared" si="10"/>
        <v>4</v>
      </c>
      <c r="N23">
        <f t="shared" si="3"/>
        <v>-37</v>
      </c>
      <c r="O23">
        <f t="shared" si="4"/>
        <v>0</v>
      </c>
      <c r="P23">
        <v>55</v>
      </c>
      <c r="Q23" s="295">
        <f t="shared" si="5"/>
        <v>440</v>
      </c>
      <c r="R23">
        <v>52</v>
      </c>
      <c r="S23">
        <f t="shared" si="6"/>
        <v>468</v>
      </c>
      <c r="T23">
        <f t="shared" si="11"/>
        <v>6</v>
      </c>
      <c r="U23">
        <f t="shared" si="14"/>
        <v>0</v>
      </c>
      <c r="V23">
        <f t="shared" si="15"/>
        <v>1.65</v>
      </c>
      <c r="W23">
        <f t="shared" si="12"/>
        <v>1419</v>
      </c>
      <c r="X23">
        <v>2</v>
      </c>
      <c r="Y23">
        <f t="shared" si="16"/>
        <v>86</v>
      </c>
      <c r="AF23" t="str">
        <f t="shared" si="7"/>
        <v>MURCHISON</v>
      </c>
      <c r="AG23">
        <f>+Q95-B95</f>
        <v>5212.6500000000015</v>
      </c>
      <c r="AH23" s="247">
        <f t="shared" si="17"/>
        <v>7090</v>
      </c>
    </row>
    <row r="24" spans="1:34">
      <c r="A24" t="s">
        <v>214</v>
      </c>
      <c r="B24">
        <v>60</v>
      </c>
      <c r="C24">
        <f t="shared" si="18"/>
        <v>3.3</v>
      </c>
      <c r="D24">
        <v>70</v>
      </c>
      <c r="E24" s="294">
        <f t="shared" si="13"/>
        <v>198</v>
      </c>
      <c r="F24">
        <f t="shared" si="8"/>
        <v>198</v>
      </c>
      <c r="G24" s="294">
        <f t="shared" si="0"/>
        <v>1188</v>
      </c>
      <c r="H24" s="294">
        <f t="shared" si="9"/>
        <v>198</v>
      </c>
      <c r="I24">
        <v>65</v>
      </c>
      <c r="J24">
        <f t="shared" si="1"/>
        <v>2275</v>
      </c>
      <c r="K24" s="312">
        <v>210</v>
      </c>
      <c r="L24">
        <f t="shared" si="2"/>
        <v>12600</v>
      </c>
      <c r="M24">
        <f t="shared" si="10"/>
        <v>4</v>
      </c>
      <c r="N24">
        <f t="shared" si="3"/>
        <v>-20</v>
      </c>
      <c r="O24">
        <f t="shared" si="4"/>
        <v>0</v>
      </c>
      <c r="P24">
        <v>50</v>
      </c>
      <c r="Q24" s="295">
        <f t="shared" si="5"/>
        <v>400</v>
      </c>
      <c r="R24">
        <v>54</v>
      </c>
      <c r="S24">
        <f t="shared" si="6"/>
        <v>486</v>
      </c>
      <c r="T24">
        <f t="shared" si="11"/>
        <v>6</v>
      </c>
      <c r="U24">
        <f t="shared" si="14"/>
        <v>0</v>
      </c>
      <c r="V24">
        <f t="shared" si="15"/>
        <v>1.65</v>
      </c>
      <c r="W24">
        <f t="shared" si="12"/>
        <v>1980</v>
      </c>
      <c r="X24">
        <v>2</v>
      </c>
      <c r="Y24">
        <f t="shared" si="16"/>
        <v>120</v>
      </c>
      <c r="AF24" t="str">
        <f t="shared" si="7"/>
        <v>NAGAMBIE</v>
      </c>
      <c r="AG24">
        <f>+R95-B95</f>
        <v>7455.75</v>
      </c>
      <c r="AH24" s="247">
        <f t="shared" si="17"/>
        <v>10140</v>
      </c>
    </row>
    <row r="25" spans="1:34">
      <c r="A25" t="s">
        <v>215</v>
      </c>
      <c r="B25">
        <v>40</v>
      </c>
      <c r="C25">
        <f t="shared" si="18"/>
        <v>3.3</v>
      </c>
      <c r="D25">
        <v>70</v>
      </c>
      <c r="E25" s="294">
        <f t="shared" si="13"/>
        <v>132</v>
      </c>
      <c r="F25">
        <f t="shared" si="8"/>
        <v>132</v>
      </c>
      <c r="G25" s="294">
        <f t="shared" si="0"/>
        <v>792</v>
      </c>
      <c r="H25" s="294">
        <f t="shared" si="9"/>
        <v>132</v>
      </c>
      <c r="I25">
        <v>63</v>
      </c>
      <c r="J25">
        <f t="shared" si="1"/>
        <v>2205</v>
      </c>
      <c r="K25" s="312">
        <v>232</v>
      </c>
      <c r="L25">
        <f t="shared" si="2"/>
        <v>13920</v>
      </c>
      <c r="M25">
        <f t="shared" si="10"/>
        <v>4</v>
      </c>
      <c r="N25">
        <f t="shared" si="3"/>
        <v>-40</v>
      </c>
      <c r="O25">
        <f t="shared" si="4"/>
        <v>0</v>
      </c>
      <c r="P25">
        <v>65</v>
      </c>
      <c r="Q25" s="295">
        <f t="shared" si="5"/>
        <v>520</v>
      </c>
      <c r="R25">
        <v>52</v>
      </c>
      <c r="S25">
        <f t="shared" si="6"/>
        <v>468</v>
      </c>
      <c r="T25">
        <f t="shared" si="11"/>
        <v>6</v>
      </c>
      <c r="U25">
        <f t="shared" si="14"/>
        <v>0</v>
      </c>
      <c r="V25">
        <f t="shared" si="15"/>
        <v>1.65</v>
      </c>
      <c r="W25">
        <f t="shared" si="12"/>
        <v>1320</v>
      </c>
      <c r="X25">
        <v>2</v>
      </c>
      <c r="Y25">
        <f t="shared" si="16"/>
        <v>80</v>
      </c>
      <c r="AF25" t="str">
        <f t="shared" si="7"/>
        <v>NATHALIA</v>
      </c>
      <c r="AG25">
        <f>+S95-B95</f>
        <v>5868.75</v>
      </c>
      <c r="AH25" s="247">
        <f t="shared" si="17"/>
        <v>7990</v>
      </c>
    </row>
    <row r="26" spans="1:34">
      <c r="A26" t="s">
        <v>216</v>
      </c>
      <c r="B26">
        <v>35</v>
      </c>
      <c r="C26">
        <f t="shared" si="18"/>
        <v>3.3</v>
      </c>
      <c r="D26">
        <v>60</v>
      </c>
      <c r="E26" s="294">
        <f t="shared" si="13"/>
        <v>115.5</v>
      </c>
      <c r="F26">
        <f t="shared" si="8"/>
        <v>115.5</v>
      </c>
      <c r="G26" s="294">
        <f t="shared" si="0"/>
        <v>693</v>
      </c>
      <c r="H26" s="294">
        <f t="shared" si="9"/>
        <v>115.5</v>
      </c>
      <c r="I26">
        <v>51</v>
      </c>
      <c r="J26">
        <f t="shared" si="1"/>
        <v>1785</v>
      </c>
      <c r="K26" s="312">
        <v>220</v>
      </c>
      <c r="L26">
        <f t="shared" si="2"/>
        <v>13200</v>
      </c>
      <c r="M26">
        <f t="shared" si="10"/>
        <v>4</v>
      </c>
      <c r="N26">
        <f t="shared" si="3"/>
        <v>-45</v>
      </c>
      <c r="O26">
        <f t="shared" si="4"/>
        <v>0</v>
      </c>
      <c r="P26">
        <v>55</v>
      </c>
      <c r="Q26" s="295">
        <f t="shared" si="5"/>
        <v>440</v>
      </c>
      <c r="R26">
        <v>44</v>
      </c>
      <c r="S26">
        <f t="shared" si="6"/>
        <v>396</v>
      </c>
      <c r="T26">
        <f t="shared" si="11"/>
        <v>6</v>
      </c>
      <c r="U26">
        <f t="shared" si="14"/>
        <v>0</v>
      </c>
      <c r="V26">
        <f t="shared" si="15"/>
        <v>1.65</v>
      </c>
      <c r="W26">
        <f t="shared" si="12"/>
        <v>1155</v>
      </c>
      <c r="X26">
        <v>2</v>
      </c>
      <c r="Y26">
        <f t="shared" si="16"/>
        <v>70</v>
      </c>
      <c r="AF26" t="str">
        <f t="shared" si="7"/>
        <v>NUMURKAH</v>
      </c>
      <c r="AG26">
        <f>+T95-B95</f>
        <v>3435.25</v>
      </c>
      <c r="AH26" s="247">
        <f t="shared" si="17"/>
        <v>4680</v>
      </c>
    </row>
    <row r="27" spans="1:34">
      <c r="A27" t="s">
        <v>217</v>
      </c>
      <c r="B27">
        <v>70</v>
      </c>
      <c r="C27">
        <f t="shared" si="18"/>
        <v>3.3</v>
      </c>
      <c r="D27">
        <v>90</v>
      </c>
      <c r="E27" s="294">
        <f t="shared" si="13"/>
        <v>231</v>
      </c>
      <c r="F27">
        <f t="shared" si="8"/>
        <v>231</v>
      </c>
      <c r="G27" s="294">
        <f t="shared" si="0"/>
        <v>1386</v>
      </c>
      <c r="H27" s="294">
        <f t="shared" si="9"/>
        <v>231</v>
      </c>
      <c r="I27">
        <v>65</v>
      </c>
      <c r="J27">
        <f t="shared" si="1"/>
        <v>2275</v>
      </c>
      <c r="K27" s="312">
        <v>256</v>
      </c>
      <c r="L27">
        <f t="shared" si="2"/>
        <v>15360</v>
      </c>
      <c r="M27">
        <f t="shared" si="10"/>
        <v>4</v>
      </c>
      <c r="N27">
        <f t="shared" si="3"/>
        <v>-10</v>
      </c>
      <c r="O27">
        <f t="shared" si="4"/>
        <v>0</v>
      </c>
      <c r="P27">
        <v>75</v>
      </c>
      <c r="Q27" s="295">
        <f t="shared" si="5"/>
        <v>600</v>
      </c>
      <c r="R27">
        <v>54</v>
      </c>
      <c r="S27">
        <f t="shared" si="6"/>
        <v>486</v>
      </c>
      <c r="T27">
        <f t="shared" si="11"/>
        <v>6</v>
      </c>
      <c r="U27">
        <f t="shared" si="14"/>
        <v>0</v>
      </c>
      <c r="V27">
        <f t="shared" si="15"/>
        <v>1.65</v>
      </c>
      <c r="W27">
        <f t="shared" si="12"/>
        <v>2310</v>
      </c>
      <c r="X27">
        <v>2</v>
      </c>
      <c r="Y27">
        <f t="shared" si="16"/>
        <v>140</v>
      </c>
      <c r="AF27" t="str">
        <f t="shared" si="7"/>
        <v>ROCHESTER</v>
      </c>
      <c r="AG27">
        <f>+U95-B95</f>
        <v>11838.75</v>
      </c>
      <c r="AH27" s="247">
        <f t="shared" si="17"/>
        <v>16110</v>
      </c>
    </row>
    <row r="28" spans="1:34">
      <c r="A28" t="s">
        <v>218</v>
      </c>
      <c r="B28">
        <v>48</v>
      </c>
      <c r="C28">
        <f t="shared" si="18"/>
        <v>3.3</v>
      </c>
      <c r="D28">
        <v>90</v>
      </c>
      <c r="E28" s="294">
        <f t="shared" si="13"/>
        <v>158.39999999999998</v>
      </c>
      <c r="F28">
        <f t="shared" si="8"/>
        <v>158.39999999999998</v>
      </c>
      <c r="G28" s="294">
        <f t="shared" si="0"/>
        <v>950.39999999999986</v>
      </c>
      <c r="H28" s="294">
        <f t="shared" si="9"/>
        <v>158.39999999999998</v>
      </c>
      <c r="I28">
        <v>65</v>
      </c>
      <c r="J28">
        <f t="shared" si="1"/>
        <v>2275</v>
      </c>
      <c r="K28" s="312">
        <v>242</v>
      </c>
      <c r="L28">
        <f t="shared" si="2"/>
        <v>14520</v>
      </c>
      <c r="M28">
        <f t="shared" si="10"/>
        <v>4</v>
      </c>
      <c r="N28">
        <f t="shared" si="3"/>
        <v>-32</v>
      </c>
      <c r="O28">
        <f t="shared" si="4"/>
        <v>0</v>
      </c>
      <c r="P28">
        <v>80</v>
      </c>
      <c r="Q28" s="295">
        <f t="shared" si="5"/>
        <v>640</v>
      </c>
      <c r="R28">
        <v>52</v>
      </c>
      <c r="S28">
        <f t="shared" si="6"/>
        <v>468</v>
      </c>
      <c r="T28">
        <f t="shared" si="11"/>
        <v>6</v>
      </c>
      <c r="U28">
        <f t="shared" si="14"/>
        <v>0</v>
      </c>
      <c r="V28">
        <f t="shared" si="15"/>
        <v>1.65</v>
      </c>
      <c r="W28">
        <f t="shared" si="12"/>
        <v>1583.9999999999998</v>
      </c>
      <c r="X28">
        <v>2</v>
      </c>
      <c r="Y28">
        <f t="shared" si="16"/>
        <v>96</v>
      </c>
      <c r="AF28" t="str">
        <f t="shared" si="7"/>
        <v>RUSHWORTH</v>
      </c>
      <c r="AG28">
        <f>+V95-B95</f>
        <v>6749.1500000000015</v>
      </c>
      <c r="AH28" s="247">
        <f t="shared" si="17"/>
        <v>9180</v>
      </c>
    </row>
    <row r="29" spans="1:34">
      <c r="A29" t="s">
        <v>219</v>
      </c>
      <c r="B29">
        <v>86</v>
      </c>
      <c r="C29">
        <f t="shared" si="18"/>
        <v>3.3</v>
      </c>
      <c r="D29">
        <v>110</v>
      </c>
      <c r="E29" s="294">
        <f t="shared" si="13"/>
        <v>283.8</v>
      </c>
      <c r="F29">
        <f t="shared" si="8"/>
        <v>283.8</v>
      </c>
      <c r="G29" s="294">
        <f t="shared" si="0"/>
        <v>1702.8000000000002</v>
      </c>
      <c r="H29" s="294">
        <f t="shared" si="9"/>
        <v>283.8</v>
      </c>
      <c r="I29">
        <v>65</v>
      </c>
      <c r="J29">
        <f t="shared" si="1"/>
        <v>2275</v>
      </c>
      <c r="K29" s="312">
        <v>220</v>
      </c>
      <c r="L29">
        <f t="shared" si="2"/>
        <v>13200</v>
      </c>
      <c r="M29">
        <f t="shared" si="10"/>
        <v>4</v>
      </c>
      <c r="N29">
        <f t="shared" si="3"/>
        <v>6</v>
      </c>
      <c r="O29">
        <f t="shared" si="4"/>
        <v>48</v>
      </c>
      <c r="P29">
        <v>55</v>
      </c>
      <c r="Q29" s="295">
        <f t="shared" si="5"/>
        <v>440</v>
      </c>
      <c r="R29">
        <v>54</v>
      </c>
      <c r="S29">
        <f t="shared" si="6"/>
        <v>486</v>
      </c>
      <c r="T29">
        <f t="shared" si="11"/>
        <v>6</v>
      </c>
      <c r="U29">
        <f t="shared" si="14"/>
        <v>36</v>
      </c>
      <c r="V29">
        <f t="shared" si="15"/>
        <v>1.65</v>
      </c>
      <c r="W29">
        <f t="shared" si="12"/>
        <v>2838</v>
      </c>
      <c r="X29">
        <v>2</v>
      </c>
      <c r="Y29">
        <f t="shared" si="16"/>
        <v>172</v>
      </c>
      <c r="AF29" t="str">
        <f t="shared" si="7"/>
        <v>SEYMOUR</v>
      </c>
      <c r="AG29">
        <f>+W95-B95</f>
        <v>11918.55</v>
      </c>
      <c r="AH29" s="247">
        <f t="shared" si="17"/>
        <v>16210</v>
      </c>
    </row>
    <row r="30" spans="1:34">
      <c r="A30" t="s">
        <v>221</v>
      </c>
      <c r="B30">
        <v>42</v>
      </c>
      <c r="C30">
        <f t="shared" si="18"/>
        <v>3.3</v>
      </c>
      <c r="D30">
        <v>60</v>
      </c>
      <c r="E30" s="294">
        <f t="shared" si="13"/>
        <v>138.6</v>
      </c>
      <c r="F30">
        <f t="shared" si="8"/>
        <v>138.6</v>
      </c>
      <c r="G30" s="294">
        <f t="shared" si="0"/>
        <v>831.59999999999991</v>
      </c>
      <c r="H30" s="294">
        <f t="shared" si="9"/>
        <v>138.6</v>
      </c>
      <c r="I30">
        <v>63</v>
      </c>
      <c r="J30">
        <f t="shared" si="1"/>
        <v>2205</v>
      </c>
      <c r="K30" s="312">
        <v>232</v>
      </c>
      <c r="L30">
        <f t="shared" si="2"/>
        <v>13920</v>
      </c>
      <c r="M30">
        <f t="shared" si="10"/>
        <v>4</v>
      </c>
      <c r="N30">
        <f t="shared" si="3"/>
        <v>-38</v>
      </c>
      <c r="O30">
        <f t="shared" si="4"/>
        <v>0</v>
      </c>
      <c r="P30">
        <v>80</v>
      </c>
      <c r="Q30" s="295">
        <f t="shared" si="5"/>
        <v>640</v>
      </c>
      <c r="R30">
        <v>52</v>
      </c>
      <c r="S30">
        <f t="shared" si="6"/>
        <v>468</v>
      </c>
      <c r="T30">
        <f t="shared" si="11"/>
        <v>6</v>
      </c>
      <c r="U30">
        <f t="shared" si="14"/>
        <v>0</v>
      </c>
      <c r="V30">
        <f t="shared" si="15"/>
        <v>1.65</v>
      </c>
      <c r="W30">
        <f t="shared" si="12"/>
        <v>1386</v>
      </c>
      <c r="X30">
        <v>2</v>
      </c>
      <c r="Y30">
        <f t="shared" si="16"/>
        <v>84</v>
      </c>
      <c r="AF30" t="str">
        <f t="shared" si="7"/>
        <v>STANHOPE</v>
      </c>
      <c r="AG30">
        <f>+X95-B95</f>
        <v>5751.3499999999985</v>
      </c>
      <c r="AH30" s="247">
        <f t="shared" si="17"/>
        <v>7830</v>
      </c>
    </row>
    <row r="31" spans="1:34">
      <c r="A31" t="s">
        <v>220</v>
      </c>
      <c r="B31">
        <v>56</v>
      </c>
      <c r="C31">
        <f t="shared" si="18"/>
        <v>3.3</v>
      </c>
      <c r="D31">
        <v>70</v>
      </c>
      <c r="E31" s="294">
        <f t="shared" si="13"/>
        <v>184.79999999999998</v>
      </c>
      <c r="F31">
        <f t="shared" si="8"/>
        <v>184.79999999999998</v>
      </c>
      <c r="G31" s="294">
        <f t="shared" si="0"/>
        <v>1108.8</v>
      </c>
      <c r="H31" s="294">
        <f t="shared" si="9"/>
        <v>184.79999999999998</v>
      </c>
      <c r="I31">
        <v>65</v>
      </c>
      <c r="J31">
        <f t="shared" si="1"/>
        <v>2275</v>
      </c>
      <c r="K31" s="312">
        <v>216</v>
      </c>
      <c r="L31">
        <f t="shared" si="2"/>
        <v>12960</v>
      </c>
      <c r="M31">
        <f t="shared" si="10"/>
        <v>4</v>
      </c>
      <c r="N31">
        <f t="shared" si="3"/>
        <v>-24</v>
      </c>
      <c r="O31">
        <f t="shared" si="4"/>
        <v>0</v>
      </c>
      <c r="P31">
        <v>70</v>
      </c>
      <c r="Q31" s="295">
        <f t="shared" si="5"/>
        <v>560</v>
      </c>
      <c r="R31">
        <v>52</v>
      </c>
      <c r="S31">
        <f t="shared" si="6"/>
        <v>468</v>
      </c>
      <c r="T31">
        <f t="shared" si="11"/>
        <v>6</v>
      </c>
      <c r="U31">
        <f t="shared" si="14"/>
        <v>0</v>
      </c>
      <c r="V31">
        <f t="shared" si="15"/>
        <v>1.65</v>
      </c>
      <c r="W31">
        <f t="shared" si="12"/>
        <v>1847.9999999999998</v>
      </c>
      <c r="X31">
        <v>2</v>
      </c>
      <c r="Y31">
        <f t="shared" si="16"/>
        <v>112</v>
      </c>
      <c r="AF31" t="str">
        <f t="shared" si="7"/>
        <v>STRATHMERTON</v>
      </c>
      <c r="AG31">
        <f>+Y95-B95</f>
        <v>7130.5499999999993</v>
      </c>
      <c r="AH31" s="247">
        <f t="shared" si="17"/>
        <v>9700</v>
      </c>
    </row>
    <row r="32" spans="1:34">
      <c r="A32" t="s">
        <v>222</v>
      </c>
      <c r="B32">
        <v>20</v>
      </c>
      <c r="C32">
        <f t="shared" si="18"/>
        <v>3.3</v>
      </c>
      <c r="D32" s="233">
        <f>+D8</f>
        <v>45.45</v>
      </c>
      <c r="E32" s="294">
        <f t="shared" si="13"/>
        <v>66</v>
      </c>
      <c r="F32">
        <f t="shared" si="8"/>
        <v>66</v>
      </c>
      <c r="G32" s="294">
        <f t="shared" si="0"/>
        <v>396</v>
      </c>
      <c r="H32" s="294">
        <f t="shared" si="9"/>
        <v>66</v>
      </c>
      <c r="I32">
        <v>51</v>
      </c>
      <c r="J32">
        <f t="shared" si="1"/>
        <v>1785</v>
      </c>
      <c r="K32" s="312">
        <v>210</v>
      </c>
      <c r="L32">
        <f t="shared" si="2"/>
        <v>12600</v>
      </c>
      <c r="M32">
        <f t="shared" si="10"/>
        <v>4</v>
      </c>
      <c r="N32">
        <f t="shared" si="3"/>
        <v>-60</v>
      </c>
      <c r="O32">
        <f t="shared" si="4"/>
        <v>0</v>
      </c>
      <c r="P32">
        <v>60</v>
      </c>
      <c r="Q32" s="295">
        <f t="shared" si="5"/>
        <v>480</v>
      </c>
      <c r="R32">
        <v>44</v>
      </c>
      <c r="S32">
        <f t="shared" si="6"/>
        <v>396</v>
      </c>
      <c r="T32">
        <f t="shared" si="11"/>
        <v>6</v>
      </c>
      <c r="U32">
        <f t="shared" si="14"/>
        <v>0</v>
      </c>
      <c r="V32">
        <f t="shared" si="15"/>
        <v>1.65</v>
      </c>
      <c r="W32">
        <f t="shared" si="12"/>
        <v>660</v>
      </c>
      <c r="X32">
        <v>2</v>
      </c>
      <c r="AF32" t="str">
        <f t="shared" si="7"/>
        <v>TATURA</v>
      </c>
      <c r="AG32">
        <f>+Z95-B95</f>
        <v>890</v>
      </c>
      <c r="AH32" s="247">
        <f t="shared" si="17"/>
        <v>1220</v>
      </c>
    </row>
    <row r="33" spans="1:34">
      <c r="A33" t="s">
        <v>223</v>
      </c>
      <c r="B33">
        <v>57</v>
      </c>
      <c r="C33">
        <f t="shared" si="18"/>
        <v>3.3</v>
      </c>
      <c r="D33">
        <v>80</v>
      </c>
      <c r="E33" s="294">
        <f t="shared" si="13"/>
        <v>188.1</v>
      </c>
      <c r="F33">
        <f t="shared" si="8"/>
        <v>188.1</v>
      </c>
      <c r="G33" s="294">
        <f t="shared" si="0"/>
        <v>1128.5999999999999</v>
      </c>
      <c r="H33" s="294">
        <f t="shared" si="9"/>
        <v>188.1</v>
      </c>
      <c r="I33">
        <v>65</v>
      </c>
      <c r="J33">
        <f t="shared" si="1"/>
        <v>2275</v>
      </c>
      <c r="K33" s="312">
        <v>230</v>
      </c>
      <c r="L33">
        <f t="shared" si="2"/>
        <v>13800</v>
      </c>
      <c r="M33">
        <f t="shared" si="10"/>
        <v>4</v>
      </c>
      <c r="N33">
        <f t="shared" si="3"/>
        <v>-23</v>
      </c>
      <c r="O33">
        <f t="shared" si="4"/>
        <v>0</v>
      </c>
      <c r="P33">
        <v>85</v>
      </c>
      <c r="Q33" s="295">
        <f t="shared" si="5"/>
        <v>680</v>
      </c>
      <c r="R33">
        <v>52</v>
      </c>
      <c r="S33">
        <f t="shared" si="6"/>
        <v>468</v>
      </c>
      <c r="T33">
        <f t="shared" si="11"/>
        <v>6</v>
      </c>
      <c r="U33">
        <f t="shared" si="14"/>
        <v>0</v>
      </c>
      <c r="V33">
        <f t="shared" si="15"/>
        <v>1.65</v>
      </c>
      <c r="W33">
        <f t="shared" si="12"/>
        <v>1881</v>
      </c>
      <c r="X33">
        <v>2</v>
      </c>
      <c r="Y33">
        <f t="shared" si="16"/>
        <v>114</v>
      </c>
      <c r="AF33" t="str">
        <f t="shared" si="7"/>
        <v>TONGALA</v>
      </c>
      <c r="AG33">
        <f>+AA95-B95</f>
        <v>7561.8499999999985</v>
      </c>
      <c r="AH33" s="247">
        <f t="shared" si="17"/>
        <v>10290</v>
      </c>
    </row>
    <row r="34" spans="1:34">
      <c r="A34" t="s">
        <v>224</v>
      </c>
      <c r="B34">
        <v>59</v>
      </c>
      <c r="C34">
        <f t="shared" si="18"/>
        <v>3.3</v>
      </c>
      <c r="D34" s="233">
        <f>+D10</f>
        <v>110</v>
      </c>
      <c r="E34" s="294">
        <f t="shared" si="13"/>
        <v>194.7</v>
      </c>
      <c r="F34">
        <f t="shared" si="8"/>
        <v>194.7</v>
      </c>
      <c r="G34" s="294">
        <f t="shared" si="0"/>
        <v>1168.1999999999998</v>
      </c>
      <c r="H34" s="294">
        <f t="shared" si="9"/>
        <v>194.7</v>
      </c>
      <c r="I34">
        <v>65</v>
      </c>
      <c r="J34">
        <f t="shared" si="1"/>
        <v>2275</v>
      </c>
      <c r="K34" s="312">
        <v>240</v>
      </c>
      <c r="L34">
        <f t="shared" si="2"/>
        <v>14400</v>
      </c>
      <c r="M34">
        <f t="shared" si="10"/>
        <v>4</v>
      </c>
      <c r="N34">
        <f t="shared" si="3"/>
        <v>-21</v>
      </c>
      <c r="O34">
        <f t="shared" si="4"/>
        <v>0</v>
      </c>
      <c r="P34">
        <v>70</v>
      </c>
      <c r="Q34" s="295">
        <f t="shared" si="5"/>
        <v>560</v>
      </c>
      <c r="R34">
        <v>65</v>
      </c>
      <c r="S34">
        <f t="shared" si="6"/>
        <v>585</v>
      </c>
      <c r="T34">
        <f t="shared" si="11"/>
        <v>6</v>
      </c>
      <c r="U34">
        <f t="shared" si="14"/>
        <v>0</v>
      </c>
      <c r="V34">
        <f t="shared" si="15"/>
        <v>1.65</v>
      </c>
      <c r="W34">
        <f t="shared" si="12"/>
        <v>1947</v>
      </c>
      <c r="X34">
        <v>2</v>
      </c>
      <c r="Y34">
        <f t="shared" si="16"/>
        <v>118</v>
      </c>
      <c r="AF34" t="str">
        <f t="shared" si="7"/>
        <v>TUNGAMAH</v>
      </c>
      <c r="AG34">
        <f>+AB95-B95</f>
        <v>11173.45</v>
      </c>
      <c r="AH34" s="247">
        <f t="shared" si="17"/>
        <v>15200</v>
      </c>
    </row>
    <row r="35" spans="1:34">
      <c r="A35" s="296" t="s">
        <v>225</v>
      </c>
      <c r="B35">
        <v>78</v>
      </c>
      <c r="C35">
        <f t="shared" si="18"/>
        <v>3.3</v>
      </c>
      <c r="D35">
        <v>80</v>
      </c>
      <c r="E35" s="294">
        <f t="shared" si="13"/>
        <v>257.39999999999998</v>
      </c>
      <c r="F35">
        <f t="shared" si="8"/>
        <v>257.39999999999998</v>
      </c>
      <c r="G35" s="294">
        <f t="shared" si="0"/>
        <v>1544.3999999999999</v>
      </c>
      <c r="H35" s="294">
        <f t="shared" si="9"/>
        <v>257.39999999999998</v>
      </c>
      <c r="I35">
        <v>65</v>
      </c>
      <c r="J35">
        <f t="shared" si="1"/>
        <v>2275</v>
      </c>
      <c r="K35" s="312">
        <v>220</v>
      </c>
      <c r="L35">
        <f t="shared" si="2"/>
        <v>13200</v>
      </c>
      <c r="M35">
        <f t="shared" si="10"/>
        <v>4</v>
      </c>
      <c r="N35">
        <f t="shared" si="3"/>
        <v>-2</v>
      </c>
      <c r="O35">
        <f t="shared" si="4"/>
        <v>0</v>
      </c>
      <c r="P35">
        <v>65</v>
      </c>
      <c r="Q35" s="295">
        <f t="shared" si="5"/>
        <v>520</v>
      </c>
      <c r="R35">
        <v>54</v>
      </c>
      <c r="S35">
        <f t="shared" si="6"/>
        <v>486</v>
      </c>
      <c r="T35">
        <f t="shared" si="11"/>
        <v>6</v>
      </c>
      <c r="U35">
        <f t="shared" si="14"/>
        <v>0</v>
      </c>
      <c r="V35">
        <f t="shared" si="15"/>
        <v>1.65</v>
      </c>
      <c r="W35">
        <f t="shared" si="12"/>
        <v>2574</v>
      </c>
      <c r="X35">
        <v>2</v>
      </c>
      <c r="Y35">
        <f t="shared" si="16"/>
        <v>156</v>
      </c>
      <c r="AF35" t="str">
        <f t="shared" si="7"/>
        <v>YARRAWONGA</v>
      </c>
      <c r="AG35">
        <f>+AC95-B95</f>
        <v>11539.150000000001</v>
      </c>
      <c r="AH35" s="247">
        <f t="shared" si="17"/>
        <v>15700</v>
      </c>
    </row>
    <row r="36" spans="1:34">
      <c r="A36" t="s">
        <v>226</v>
      </c>
      <c r="B36">
        <v>119</v>
      </c>
      <c r="C36">
        <f>+C35</f>
        <v>3.3</v>
      </c>
      <c r="D36" s="233">
        <f>+D22</f>
        <v>150</v>
      </c>
      <c r="E36" s="294">
        <f t="shared" si="13"/>
        <v>392.7</v>
      </c>
      <c r="F36">
        <f t="shared" si="8"/>
        <v>392.7</v>
      </c>
      <c r="G36" s="294">
        <f>(+VALUE(B36))*1.65</f>
        <v>196.35</v>
      </c>
      <c r="H36" s="294">
        <f t="shared" si="9"/>
        <v>392.7</v>
      </c>
      <c r="I36">
        <v>85</v>
      </c>
      <c r="J36">
        <f t="shared" si="1"/>
        <v>2975</v>
      </c>
      <c r="K36" s="312">
        <v>295</v>
      </c>
      <c r="L36">
        <f t="shared" si="2"/>
        <v>17700</v>
      </c>
      <c r="M36">
        <f t="shared" si="10"/>
        <v>4</v>
      </c>
      <c r="N36">
        <f t="shared" si="3"/>
        <v>39</v>
      </c>
      <c r="O36">
        <f t="shared" si="4"/>
        <v>312</v>
      </c>
      <c r="P36">
        <v>80</v>
      </c>
      <c r="Q36" s="295">
        <f t="shared" si="5"/>
        <v>640</v>
      </c>
      <c r="R36">
        <v>80</v>
      </c>
      <c r="S36">
        <f t="shared" si="6"/>
        <v>720</v>
      </c>
      <c r="T36">
        <f t="shared" si="11"/>
        <v>6</v>
      </c>
      <c r="U36">
        <f t="shared" si="14"/>
        <v>234</v>
      </c>
      <c r="V36">
        <f t="shared" si="15"/>
        <v>1.65</v>
      </c>
      <c r="W36">
        <f t="shared" si="12"/>
        <v>3927</v>
      </c>
      <c r="X36">
        <v>2</v>
      </c>
      <c r="Y36">
        <f t="shared" si="16"/>
        <v>238</v>
      </c>
      <c r="AF36" t="str">
        <f t="shared" si="7"/>
        <v>YEA</v>
      </c>
      <c r="AG36">
        <f>+AD95-B95</f>
        <v>28472.6</v>
      </c>
      <c r="AH36" s="247">
        <f t="shared" si="17"/>
        <v>38730</v>
      </c>
    </row>
    <row r="38" spans="1:34">
      <c r="A38" s="297"/>
      <c r="B38" s="297">
        <v>3630</v>
      </c>
      <c r="C38" s="298">
        <v>3714</v>
      </c>
      <c r="D38" s="298">
        <v>3664</v>
      </c>
      <c r="E38" s="298">
        <v>3671</v>
      </c>
      <c r="F38" s="298">
        <v>3644</v>
      </c>
      <c r="G38" s="298">
        <v>3568</v>
      </c>
      <c r="H38" s="298">
        <v>2710</v>
      </c>
      <c r="I38" s="299">
        <v>3564</v>
      </c>
      <c r="J38" s="298">
        <v>3666</v>
      </c>
      <c r="K38" s="314">
        <v>2713</v>
      </c>
      <c r="L38" s="298">
        <v>3634</v>
      </c>
      <c r="M38" s="298">
        <v>3580</v>
      </c>
      <c r="N38" s="298">
        <v>3620</v>
      </c>
      <c r="O38" s="298">
        <v>3722</v>
      </c>
      <c r="P38" s="298">
        <v>2710</v>
      </c>
      <c r="Q38" s="298">
        <v>3610</v>
      </c>
      <c r="R38" s="298">
        <v>3608</v>
      </c>
      <c r="S38" s="298">
        <v>3638</v>
      </c>
      <c r="T38" s="298">
        <v>3636</v>
      </c>
      <c r="U38" s="298">
        <v>3561</v>
      </c>
      <c r="V38" s="297">
        <v>3612</v>
      </c>
      <c r="W38" s="298">
        <v>3660</v>
      </c>
      <c r="X38" s="298">
        <v>3623</v>
      </c>
      <c r="Y38" s="298">
        <v>3641</v>
      </c>
      <c r="Z38" s="298">
        <v>3616</v>
      </c>
      <c r="AA38" s="298">
        <v>3621</v>
      </c>
      <c r="AB38" s="298">
        <v>3728</v>
      </c>
      <c r="AC38" s="299">
        <v>3730</v>
      </c>
      <c r="AD38" s="298">
        <v>3717</v>
      </c>
    </row>
    <row r="39" spans="1:34" s="304" customFormat="1" ht="80.400000000000006">
      <c r="A39" s="300"/>
      <c r="B39" s="300" t="s">
        <v>152</v>
      </c>
      <c r="C39" s="301" t="s">
        <v>200</v>
      </c>
      <c r="D39" s="301" t="s">
        <v>201</v>
      </c>
      <c r="E39" s="301" t="s">
        <v>202</v>
      </c>
      <c r="F39" s="301" t="s">
        <v>203</v>
      </c>
      <c r="G39" s="301" t="s">
        <v>204</v>
      </c>
      <c r="H39" s="301" t="s">
        <v>205</v>
      </c>
      <c r="I39" s="302" t="s">
        <v>191</v>
      </c>
      <c r="J39" s="301" t="s">
        <v>206</v>
      </c>
      <c r="K39" s="315" t="s">
        <v>207</v>
      </c>
      <c r="L39" s="301" t="s">
        <v>208</v>
      </c>
      <c r="M39" s="301" t="s">
        <v>209</v>
      </c>
      <c r="N39" s="301" t="s">
        <v>211</v>
      </c>
      <c r="O39" s="301" t="s">
        <v>212</v>
      </c>
      <c r="P39" s="301" t="s">
        <v>687</v>
      </c>
      <c r="Q39" s="301" t="s">
        <v>213</v>
      </c>
      <c r="R39" s="301" t="s">
        <v>214</v>
      </c>
      <c r="S39" s="301" t="s">
        <v>215</v>
      </c>
      <c r="T39" s="301" t="s">
        <v>216</v>
      </c>
      <c r="U39" s="301" t="s">
        <v>217</v>
      </c>
      <c r="V39" s="300" t="s">
        <v>218</v>
      </c>
      <c r="W39" s="301" t="s">
        <v>219</v>
      </c>
      <c r="X39" s="301" t="s">
        <v>221</v>
      </c>
      <c r="Y39" s="301" t="s">
        <v>220</v>
      </c>
      <c r="Z39" s="301" t="s">
        <v>222</v>
      </c>
      <c r="AA39" s="301" t="s">
        <v>223</v>
      </c>
      <c r="AB39" s="301" t="s">
        <v>224</v>
      </c>
      <c r="AC39" s="302" t="s">
        <v>225</v>
      </c>
      <c r="AD39" s="301" t="s">
        <v>226</v>
      </c>
      <c r="AE39" s="303"/>
    </row>
    <row r="40" spans="1:34">
      <c r="A40" s="297" t="s">
        <v>907</v>
      </c>
      <c r="B40" s="297"/>
      <c r="C40" s="298" t="s">
        <v>908</v>
      </c>
      <c r="D40" s="298" t="s">
        <v>909</v>
      </c>
      <c r="E40" s="298" t="s">
        <v>910</v>
      </c>
      <c r="F40" s="298" t="s">
        <v>909</v>
      </c>
      <c r="G40" s="298" t="s">
        <v>911</v>
      </c>
      <c r="H40" s="298" t="s">
        <v>912</v>
      </c>
      <c r="I40" s="299" t="s">
        <v>909</v>
      </c>
      <c r="J40" s="299" t="s">
        <v>913</v>
      </c>
      <c r="K40" s="316" t="s">
        <v>1049</v>
      </c>
      <c r="L40" s="299" t="s">
        <v>914</v>
      </c>
      <c r="M40" s="299" t="s">
        <v>915</v>
      </c>
      <c r="N40" s="298" t="s">
        <v>916</v>
      </c>
      <c r="O40" s="299" t="s">
        <v>917</v>
      </c>
      <c r="P40" s="299" t="s">
        <v>918</v>
      </c>
      <c r="Q40" s="298" t="s">
        <v>919</v>
      </c>
      <c r="R40" s="298" t="s">
        <v>920</v>
      </c>
      <c r="S40" s="298" t="s">
        <v>921</v>
      </c>
      <c r="T40" s="298" t="s">
        <v>922</v>
      </c>
      <c r="U40" s="298" t="s">
        <v>923</v>
      </c>
      <c r="V40" s="298" t="s">
        <v>924</v>
      </c>
      <c r="W40" s="298" t="s">
        <v>925</v>
      </c>
      <c r="X40" s="298" t="s">
        <v>926</v>
      </c>
      <c r="Y40" s="298" t="s">
        <v>927</v>
      </c>
      <c r="Z40" s="298" t="s">
        <v>928</v>
      </c>
      <c r="AA40" s="298" t="s">
        <v>929</v>
      </c>
      <c r="AB40" s="298" t="s">
        <v>930</v>
      </c>
      <c r="AC40" s="299" t="s">
        <v>931</v>
      </c>
      <c r="AD40" s="298" t="s">
        <v>932</v>
      </c>
      <c r="AE40" s="232"/>
      <c r="AF40" s="232"/>
    </row>
    <row r="41" spans="1:34" ht="28.8">
      <c r="A41" s="305" t="s">
        <v>933</v>
      </c>
      <c r="B41">
        <f>+D8*5</f>
        <v>227.25</v>
      </c>
      <c r="C41">
        <f>+D9*5</f>
        <v>750</v>
      </c>
      <c r="D41">
        <f>+D10*5</f>
        <v>550</v>
      </c>
      <c r="E41">
        <f>+D11*5</f>
        <v>350</v>
      </c>
      <c r="F41">
        <f>+D12*5</f>
        <v>350</v>
      </c>
      <c r="G41">
        <f>+D13*5</f>
        <v>750</v>
      </c>
      <c r="H41">
        <f>+D14*5</f>
        <v>750</v>
      </c>
      <c r="I41">
        <f>+D15*5</f>
        <v>400</v>
      </c>
      <c r="J41">
        <f>+D16*5</f>
        <v>450</v>
      </c>
      <c r="K41" s="312">
        <f>+D17*5</f>
        <v>750</v>
      </c>
      <c r="L41">
        <f>+D18*5</f>
        <v>550</v>
      </c>
      <c r="M41">
        <f>+D19*5</f>
        <v>750</v>
      </c>
      <c r="N41">
        <f>+D20*5</f>
        <v>250</v>
      </c>
      <c r="O41">
        <f>+D21*5</f>
        <v>550</v>
      </c>
      <c r="P41">
        <f>+D22*5</f>
        <v>750</v>
      </c>
      <c r="Q41">
        <f>+D23*5</f>
        <v>450</v>
      </c>
      <c r="R41">
        <f>+D24*5</f>
        <v>350</v>
      </c>
      <c r="S41">
        <f>+D25*5</f>
        <v>350</v>
      </c>
      <c r="T41">
        <f>+D26*5</f>
        <v>300</v>
      </c>
      <c r="U41">
        <f>+D27*5</f>
        <v>450</v>
      </c>
      <c r="V41">
        <f>+D28*5</f>
        <v>450</v>
      </c>
      <c r="W41">
        <f>+D29*5</f>
        <v>550</v>
      </c>
      <c r="X41">
        <f>+D30*5</f>
        <v>300</v>
      </c>
      <c r="Y41">
        <f>+D31*5</f>
        <v>350</v>
      </c>
      <c r="Z41">
        <f>+D32*5</f>
        <v>227.25</v>
      </c>
      <c r="AA41">
        <f>+D33*5</f>
        <v>400</v>
      </c>
      <c r="AB41">
        <f>+D34*5</f>
        <v>550</v>
      </c>
      <c r="AC41">
        <f>+D35*5</f>
        <v>400</v>
      </c>
      <c r="AD41">
        <f>+D36*5</f>
        <v>750</v>
      </c>
    </row>
    <row r="42" spans="1:34">
      <c r="A42" s="13" t="s">
        <v>1006</v>
      </c>
      <c r="E42">
        <v>150</v>
      </c>
    </row>
    <row r="43" spans="1:34">
      <c r="A43" t="s">
        <v>934</v>
      </c>
      <c r="B43" s="294">
        <f>E8</f>
        <v>66</v>
      </c>
      <c r="C43" s="294">
        <f>E9</f>
        <v>396</v>
      </c>
      <c r="D43" s="294">
        <f>E10</f>
        <v>234.29999999999998</v>
      </c>
      <c r="E43" s="294">
        <f>E11</f>
        <v>204.6</v>
      </c>
      <c r="F43" s="294">
        <f>E12</f>
        <v>234.29999999999998</v>
      </c>
      <c r="G43" s="294">
        <f>E13</f>
        <v>445.5</v>
      </c>
      <c r="H43" s="294">
        <f>E14</f>
        <v>452.09999999999997</v>
      </c>
      <c r="I43" s="294">
        <f>E15</f>
        <v>234.29999999999998</v>
      </c>
      <c r="J43" s="294">
        <f>E16</f>
        <v>161.69999999999999</v>
      </c>
      <c r="K43" s="317">
        <f>E17</f>
        <v>333.29999999999995</v>
      </c>
      <c r="L43" s="294">
        <f>E18</f>
        <v>95.699999999999989</v>
      </c>
      <c r="M43" s="294">
        <f>E19</f>
        <v>521.4</v>
      </c>
      <c r="N43" s="294">
        <f>E20</f>
        <v>122.1</v>
      </c>
      <c r="O43" s="294">
        <f>E21</f>
        <v>412.5</v>
      </c>
      <c r="P43" s="294">
        <f>E22</f>
        <v>339.9</v>
      </c>
      <c r="Q43" s="294">
        <f>E23</f>
        <v>141.9</v>
      </c>
      <c r="R43" s="294">
        <f>E24</f>
        <v>198</v>
      </c>
      <c r="S43" s="294">
        <f>E25</f>
        <v>132</v>
      </c>
      <c r="T43" s="294">
        <f>E26</f>
        <v>115.5</v>
      </c>
      <c r="U43" s="294">
        <f>E27</f>
        <v>231</v>
      </c>
      <c r="V43" s="294">
        <f>E28</f>
        <v>158.39999999999998</v>
      </c>
      <c r="W43" s="294">
        <f>E29</f>
        <v>283.8</v>
      </c>
      <c r="X43" s="294">
        <f>E30</f>
        <v>138.6</v>
      </c>
      <c r="Y43" s="294">
        <f>E31</f>
        <v>184.79999999999998</v>
      </c>
      <c r="Z43" s="294">
        <f>E32</f>
        <v>66</v>
      </c>
      <c r="AA43" s="294">
        <f>E33</f>
        <v>188.1</v>
      </c>
      <c r="AB43" s="294">
        <f>E34</f>
        <v>194.7</v>
      </c>
      <c r="AC43" s="294">
        <f>E35</f>
        <v>257.39999999999998</v>
      </c>
      <c r="AD43" s="294">
        <f>E36</f>
        <v>392.7</v>
      </c>
    </row>
    <row r="44" spans="1:34">
      <c r="A44" t="s">
        <v>935</v>
      </c>
      <c r="B44">
        <v>0</v>
      </c>
      <c r="C44">
        <v>340</v>
      </c>
      <c r="D44">
        <v>220</v>
      </c>
      <c r="E44">
        <v>220</v>
      </c>
      <c r="F44">
        <v>140</v>
      </c>
      <c r="G44">
        <v>220</v>
      </c>
      <c r="H44">
        <v>220</v>
      </c>
      <c r="I44">
        <v>0</v>
      </c>
      <c r="J44">
        <v>220</v>
      </c>
      <c r="K44" s="312">
        <v>220</v>
      </c>
      <c r="L44">
        <v>140</v>
      </c>
      <c r="M44">
        <v>220</v>
      </c>
      <c r="N44">
        <v>115</v>
      </c>
      <c r="O44">
        <v>340</v>
      </c>
      <c r="P44">
        <v>140</v>
      </c>
      <c r="Q44">
        <v>140</v>
      </c>
      <c r="R44">
        <v>220</v>
      </c>
      <c r="S44">
        <v>140</v>
      </c>
      <c r="T44">
        <v>140</v>
      </c>
      <c r="U44">
        <v>220</v>
      </c>
      <c r="V44">
        <v>140</v>
      </c>
      <c r="W44">
        <v>220</v>
      </c>
      <c r="X44">
        <v>140</v>
      </c>
      <c r="Y44">
        <v>220</v>
      </c>
      <c r="Z44">
        <v>140</v>
      </c>
      <c r="AA44">
        <v>220</v>
      </c>
      <c r="AB44">
        <v>220</v>
      </c>
      <c r="AC44">
        <v>0</v>
      </c>
      <c r="AD44">
        <v>340</v>
      </c>
    </row>
    <row r="45" spans="1:34">
      <c r="A45" t="s">
        <v>997</v>
      </c>
      <c r="O45">
        <v>78</v>
      </c>
    </row>
    <row r="46" spans="1:34">
      <c r="A46" t="s">
        <v>936</v>
      </c>
      <c r="B46">
        <v>0</v>
      </c>
      <c r="C46">
        <v>400</v>
      </c>
      <c r="D46">
        <v>0</v>
      </c>
      <c r="E46">
        <v>0</v>
      </c>
      <c r="F46">
        <v>0</v>
      </c>
      <c r="G46">
        <v>0</v>
      </c>
      <c r="H46">
        <v>400</v>
      </c>
      <c r="I46">
        <v>0</v>
      </c>
      <c r="J46">
        <v>0</v>
      </c>
      <c r="K46" s="312">
        <v>400</v>
      </c>
      <c r="L46">
        <v>0</v>
      </c>
      <c r="M46">
        <v>400</v>
      </c>
      <c r="N46">
        <v>0</v>
      </c>
      <c r="O46">
        <v>400</v>
      </c>
      <c r="P46">
        <v>0</v>
      </c>
      <c r="Q46">
        <v>0</v>
      </c>
      <c r="R46">
        <v>0</v>
      </c>
      <c r="S46">
        <v>0</v>
      </c>
      <c r="T46">
        <v>0</v>
      </c>
      <c r="U46">
        <v>0</v>
      </c>
      <c r="V46">
        <v>0</v>
      </c>
      <c r="W46">
        <v>0</v>
      </c>
      <c r="X46">
        <v>0</v>
      </c>
      <c r="Y46">
        <v>0</v>
      </c>
      <c r="Z46">
        <v>0</v>
      </c>
      <c r="AA46">
        <v>0</v>
      </c>
      <c r="AB46">
        <v>0</v>
      </c>
      <c r="AC46">
        <v>0</v>
      </c>
      <c r="AD46">
        <v>400</v>
      </c>
    </row>
    <row r="47" spans="1:34">
      <c r="A47" t="s">
        <v>937</v>
      </c>
      <c r="D47">
        <v>1500</v>
      </c>
      <c r="W47">
        <v>1000</v>
      </c>
    </row>
    <row r="48" spans="1:34">
      <c r="A48" t="s">
        <v>938</v>
      </c>
      <c r="B48" s="294">
        <f>F8</f>
        <v>66</v>
      </c>
      <c r="C48">
        <f>F9</f>
        <v>396</v>
      </c>
      <c r="D48" s="294">
        <f>+F10</f>
        <v>234.29999999999998</v>
      </c>
      <c r="E48">
        <f>F11</f>
        <v>204.6</v>
      </c>
      <c r="F48" s="294">
        <f>F12</f>
        <v>234.29999999999998</v>
      </c>
      <c r="G48">
        <f>F13</f>
        <v>445.5</v>
      </c>
      <c r="H48" s="294">
        <f>F14</f>
        <v>452.09999999999997</v>
      </c>
      <c r="I48">
        <f>F15</f>
        <v>234.29999999999998</v>
      </c>
      <c r="J48" s="294">
        <f>F16</f>
        <v>161.69999999999999</v>
      </c>
      <c r="K48" s="312">
        <f>F17</f>
        <v>333.29999999999995</v>
      </c>
      <c r="L48" s="294">
        <f>F18</f>
        <v>95.699999999999989</v>
      </c>
      <c r="M48">
        <f>F19</f>
        <v>521.4</v>
      </c>
      <c r="N48" s="294">
        <f>F20</f>
        <v>122.1</v>
      </c>
      <c r="O48">
        <f>F21</f>
        <v>412.5</v>
      </c>
      <c r="P48" s="294">
        <f>F22</f>
        <v>339.9</v>
      </c>
      <c r="Q48">
        <f>F23</f>
        <v>141.9</v>
      </c>
      <c r="R48" s="294">
        <f>F24</f>
        <v>198</v>
      </c>
      <c r="S48">
        <f>F25</f>
        <v>132</v>
      </c>
      <c r="T48" s="294">
        <f>F26</f>
        <v>115.5</v>
      </c>
      <c r="U48">
        <f>F27</f>
        <v>231</v>
      </c>
      <c r="V48" s="294">
        <f>F28</f>
        <v>158.39999999999998</v>
      </c>
      <c r="W48">
        <f>F29</f>
        <v>283.8</v>
      </c>
      <c r="X48" s="294">
        <f>F30</f>
        <v>138.6</v>
      </c>
      <c r="Y48">
        <f>F31</f>
        <v>184.79999999999998</v>
      </c>
      <c r="Z48" s="294">
        <f>F32</f>
        <v>66</v>
      </c>
      <c r="AA48">
        <f>F33</f>
        <v>188.1</v>
      </c>
      <c r="AB48" s="294">
        <f>F34</f>
        <v>194.7</v>
      </c>
      <c r="AC48">
        <f>F35</f>
        <v>257.39999999999998</v>
      </c>
      <c r="AD48" s="294">
        <f>F36</f>
        <v>392.7</v>
      </c>
    </row>
    <row r="49" spans="1:30">
      <c r="A49" t="s">
        <v>939</v>
      </c>
      <c r="B49">
        <v>0</v>
      </c>
      <c r="C49">
        <v>50</v>
      </c>
      <c r="D49">
        <v>50</v>
      </c>
      <c r="E49">
        <v>50</v>
      </c>
      <c r="F49">
        <v>50</v>
      </c>
      <c r="G49">
        <v>50</v>
      </c>
      <c r="H49">
        <v>50</v>
      </c>
      <c r="I49">
        <v>50</v>
      </c>
      <c r="J49">
        <v>50</v>
      </c>
      <c r="K49" s="312">
        <v>50</v>
      </c>
      <c r="L49">
        <v>0</v>
      </c>
      <c r="M49">
        <v>50</v>
      </c>
      <c r="N49">
        <v>0</v>
      </c>
      <c r="O49">
        <v>50</v>
      </c>
      <c r="P49">
        <v>50</v>
      </c>
      <c r="Q49">
        <v>0</v>
      </c>
      <c r="R49">
        <v>50</v>
      </c>
      <c r="S49">
        <v>0</v>
      </c>
      <c r="T49">
        <v>0</v>
      </c>
      <c r="U49">
        <v>50</v>
      </c>
      <c r="V49">
        <v>50</v>
      </c>
      <c r="W49">
        <v>50</v>
      </c>
      <c r="X49">
        <v>0</v>
      </c>
      <c r="Y49">
        <v>50</v>
      </c>
      <c r="Z49">
        <v>0</v>
      </c>
      <c r="AA49">
        <v>50</v>
      </c>
      <c r="AB49">
        <v>50</v>
      </c>
      <c r="AC49">
        <v>50</v>
      </c>
      <c r="AD49">
        <v>50</v>
      </c>
    </row>
    <row r="50" spans="1:30">
      <c r="A50" t="s">
        <v>940</v>
      </c>
      <c r="B50">
        <v>0</v>
      </c>
      <c r="C50">
        <v>290</v>
      </c>
      <c r="D50">
        <v>190</v>
      </c>
      <c r="E50">
        <v>190</v>
      </c>
      <c r="F50">
        <v>190</v>
      </c>
      <c r="G50">
        <v>350</v>
      </c>
      <c r="H50">
        <v>350</v>
      </c>
      <c r="I50">
        <v>190</v>
      </c>
      <c r="J50">
        <v>150</v>
      </c>
      <c r="K50" s="312">
        <v>290</v>
      </c>
      <c r="L50">
        <v>150</v>
      </c>
      <c r="M50">
        <v>350</v>
      </c>
      <c r="N50">
        <v>150</v>
      </c>
      <c r="O50">
        <v>270</v>
      </c>
      <c r="P50">
        <v>290</v>
      </c>
      <c r="Q50">
        <v>130</v>
      </c>
      <c r="R50">
        <v>150</v>
      </c>
      <c r="S50">
        <v>150</v>
      </c>
      <c r="T50">
        <v>90</v>
      </c>
      <c r="U50">
        <v>190</v>
      </c>
      <c r="V50">
        <v>150</v>
      </c>
      <c r="W50">
        <v>210</v>
      </c>
      <c r="X50">
        <v>150</v>
      </c>
      <c r="Y50">
        <v>190</v>
      </c>
      <c r="Z50">
        <v>90</v>
      </c>
      <c r="AA50">
        <v>150</v>
      </c>
      <c r="AB50">
        <v>190</v>
      </c>
      <c r="AC50">
        <v>190</v>
      </c>
      <c r="AD50">
        <v>290</v>
      </c>
    </row>
    <row r="51" spans="1:30">
      <c r="A51" t="s">
        <v>941</v>
      </c>
      <c r="B51" s="294">
        <f>G8</f>
        <v>396</v>
      </c>
      <c r="C51" s="294">
        <f>G9</f>
        <v>2376</v>
      </c>
      <c r="D51" s="294">
        <f>G10</f>
        <v>1405.8</v>
      </c>
      <c r="E51" s="294">
        <f>G11</f>
        <v>1227.5999999999999</v>
      </c>
      <c r="F51" s="294">
        <f>G12</f>
        <v>1405.8</v>
      </c>
      <c r="G51" s="294">
        <f>G13</f>
        <v>2673</v>
      </c>
      <c r="H51" s="294">
        <f>G14</f>
        <v>2712.6</v>
      </c>
      <c r="I51" s="294">
        <f>G15</f>
        <v>1405.8</v>
      </c>
      <c r="J51" s="294">
        <f>G16</f>
        <v>970.19999999999993</v>
      </c>
      <c r="K51" s="317">
        <f>G17</f>
        <v>1999.7999999999997</v>
      </c>
      <c r="L51" s="294">
        <f>G18</f>
        <v>574.19999999999993</v>
      </c>
      <c r="M51" s="294">
        <f>G19</f>
        <v>3128.3999999999996</v>
      </c>
      <c r="N51" s="294">
        <f>G20</f>
        <v>732.59999999999991</v>
      </c>
      <c r="O51" s="294">
        <f>G21</f>
        <v>2475</v>
      </c>
      <c r="P51" s="294">
        <f>G22</f>
        <v>2039.3999999999999</v>
      </c>
      <c r="Q51" s="294">
        <f>G23</f>
        <v>851.40000000000009</v>
      </c>
      <c r="R51" s="294">
        <f>G24</f>
        <v>1188</v>
      </c>
      <c r="S51" s="294">
        <f>G25</f>
        <v>792</v>
      </c>
      <c r="T51" s="294">
        <f>G26</f>
        <v>693</v>
      </c>
      <c r="U51" s="294">
        <f>G27</f>
        <v>1386</v>
      </c>
      <c r="V51" s="294">
        <f>G28</f>
        <v>950.39999999999986</v>
      </c>
      <c r="W51" s="294">
        <f>G29</f>
        <v>1702.8000000000002</v>
      </c>
      <c r="X51" s="294">
        <f>G30</f>
        <v>831.59999999999991</v>
      </c>
      <c r="Y51" s="294">
        <f>G31</f>
        <v>1108.8</v>
      </c>
      <c r="Z51" s="294">
        <f>G32</f>
        <v>396</v>
      </c>
      <c r="AA51" s="294">
        <f>G33</f>
        <v>1128.5999999999999</v>
      </c>
      <c r="AB51" s="294">
        <f>G34</f>
        <v>1168.1999999999998</v>
      </c>
      <c r="AC51" s="294">
        <f>G35</f>
        <v>1544.3999999999999</v>
      </c>
      <c r="AD51" s="294">
        <f>G36</f>
        <v>196.35</v>
      </c>
    </row>
    <row r="52" spans="1:30">
      <c r="A52" t="s">
        <v>942</v>
      </c>
      <c r="B52">
        <f>+B61</f>
        <v>66</v>
      </c>
      <c r="C52">
        <f t="shared" ref="C52:AD52" si="19">+C61</f>
        <v>396</v>
      </c>
      <c r="D52">
        <f t="shared" si="19"/>
        <v>234.29999999999998</v>
      </c>
      <c r="E52">
        <f t="shared" si="19"/>
        <v>204.6</v>
      </c>
      <c r="F52">
        <f t="shared" si="19"/>
        <v>234.29999999999998</v>
      </c>
      <c r="G52">
        <f t="shared" si="19"/>
        <v>445.5</v>
      </c>
      <c r="H52">
        <f t="shared" si="19"/>
        <v>452.09999999999997</v>
      </c>
      <c r="I52">
        <f t="shared" si="19"/>
        <v>234.29999999999998</v>
      </c>
      <c r="J52">
        <f t="shared" si="19"/>
        <v>161.69999999999999</v>
      </c>
      <c r="K52" s="312">
        <f t="shared" si="19"/>
        <v>333.29999999999995</v>
      </c>
      <c r="L52">
        <f t="shared" si="19"/>
        <v>95.699999999999989</v>
      </c>
      <c r="M52">
        <f t="shared" si="19"/>
        <v>521.4</v>
      </c>
      <c r="N52">
        <f t="shared" si="19"/>
        <v>122.1</v>
      </c>
      <c r="O52">
        <f t="shared" si="19"/>
        <v>412.5</v>
      </c>
      <c r="P52">
        <f t="shared" si="19"/>
        <v>339.9</v>
      </c>
      <c r="Q52">
        <f t="shared" si="19"/>
        <v>141.9</v>
      </c>
      <c r="R52">
        <f t="shared" si="19"/>
        <v>198</v>
      </c>
      <c r="S52">
        <f t="shared" si="19"/>
        <v>132</v>
      </c>
      <c r="T52">
        <f t="shared" si="19"/>
        <v>115.5</v>
      </c>
      <c r="U52">
        <f t="shared" si="19"/>
        <v>231</v>
      </c>
      <c r="V52">
        <f t="shared" si="19"/>
        <v>158.39999999999998</v>
      </c>
      <c r="W52">
        <f t="shared" si="19"/>
        <v>283.8</v>
      </c>
      <c r="X52">
        <f t="shared" si="19"/>
        <v>138.6</v>
      </c>
      <c r="Y52">
        <f t="shared" si="19"/>
        <v>184.79999999999998</v>
      </c>
      <c r="Z52">
        <f t="shared" si="19"/>
        <v>66</v>
      </c>
      <c r="AA52">
        <f t="shared" si="19"/>
        <v>188.1</v>
      </c>
      <c r="AB52">
        <f t="shared" si="19"/>
        <v>194.7</v>
      </c>
      <c r="AC52">
        <f t="shared" si="19"/>
        <v>257.39999999999998</v>
      </c>
      <c r="AD52">
        <f t="shared" si="19"/>
        <v>392.7</v>
      </c>
    </row>
    <row r="53" spans="1:30">
      <c r="A53" t="s">
        <v>943</v>
      </c>
      <c r="C53">
        <v>700</v>
      </c>
      <c r="D53">
        <v>700</v>
      </c>
      <c r="E53">
        <v>780</v>
      </c>
      <c r="F53">
        <v>700</v>
      </c>
      <c r="G53">
        <v>700</v>
      </c>
      <c r="H53">
        <v>700</v>
      </c>
      <c r="I53">
        <v>0</v>
      </c>
      <c r="J53">
        <v>700</v>
      </c>
      <c r="K53" s="312">
        <v>700</v>
      </c>
      <c r="L53">
        <v>700</v>
      </c>
      <c r="M53">
        <v>700</v>
      </c>
      <c r="N53">
        <v>700</v>
      </c>
      <c r="O53">
        <v>700</v>
      </c>
      <c r="P53">
        <v>700</v>
      </c>
      <c r="Q53">
        <v>700</v>
      </c>
      <c r="R53">
        <v>700</v>
      </c>
      <c r="S53">
        <v>700</v>
      </c>
      <c r="T53">
        <v>700</v>
      </c>
      <c r="U53">
        <v>700</v>
      </c>
      <c r="V53">
        <v>700</v>
      </c>
      <c r="W53">
        <v>700</v>
      </c>
      <c r="X53">
        <v>700</v>
      </c>
      <c r="Y53">
        <v>700</v>
      </c>
      <c r="Z53">
        <v>700</v>
      </c>
      <c r="AA53">
        <v>700</v>
      </c>
      <c r="AB53">
        <v>700</v>
      </c>
      <c r="AC53">
        <v>760</v>
      </c>
      <c r="AD53">
        <v>700</v>
      </c>
    </row>
    <row r="54" spans="1:30">
      <c r="A54" t="s">
        <v>944</v>
      </c>
    </row>
    <row r="55" spans="1:30">
      <c r="A55" t="s">
        <v>1053</v>
      </c>
      <c r="C55" s="312">
        <v>165</v>
      </c>
      <c r="D55" s="312">
        <v>165</v>
      </c>
      <c r="E55" s="312">
        <v>165</v>
      </c>
      <c r="F55" s="312">
        <v>165</v>
      </c>
      <c r="G55" s="312">
        <v>165</v>
      </c>
      <c r="H55" s="312">
        <v>165</v>
      </c>
      <c r="I55" s="312"/>
      <c r="J55" s="312">
        <v>165</v>
      </c>
      <c r="K55" s="312">
        <v>165</v>
      </c>
      <c r="L55" s="312">
        <v>165</v>
      </c>
      <c r="M55" s="312">
        <v>165</v>
      </c>
      <c r="N55" s="312">
        <v>165</v>
      </c>
      <c r="O55" s="312">
        <v>165</v>
      </c>
      <c r="P55" s="312">
        <v>165</v>
      </c>
      <c r="Q55" s="312">
        <v>165</v>
      </c>
      <c r="R55" s="312">
        <v>165</v>
      </c>
      <c r="S55" s="312">
        <v>165</v>
      </c>
      <c r="T55" s="312">
        <v>165</v>
      </c>
      <c r="U55" s="312">
        <v>165</v>
      </c>
      <c r="V55" s="312">
        <v>165</v>
      </c>
      <c r="W55" s="312">
        <v>165</v>
      </c>
      <c r="X55" s="312">
        <v>165</v>
      </c>
      <c r="Y55" s="312">
        <v>165</v>
      </c>
      <c r="Z55" s="312"/>
      <c r="AA55" s="312">
        <v>165</v>
      </c>
      <c r="AB55" s="312">
        <v>165</v>
      </c>
      <c r="AC55" s="312">
        <v>165</v>
      </c>
      <c r="AD55" s="312">
        <v>165</v>
      </c>
    </row>
    <row r="56" spans="1:30">
      <c r="A56" t="s">
        <v>945</v>
      </c>
      <c r="B56">
        <v>870</v>
      </c>
      <c r="C56">
        <v>800</v>
      </c>
      <c r="D56">
        <v>670</v>
      </c>
      <c r="E56">
        <v>1030</v>
      </c>
      <c r="F56">
        <v>1270</v>
      </c>
      <c r="G56">
        <v>1500</v>
      </c>
      <c r="H56">
        <v>1500</v>
      </c>
      <c r="I56">
        <v>1070</v>
      </c>
      <c r="J56">
        <v>770</v>
      </c>
      <c r="K56" s="312">
        <v>1500</v>
      </c>
      <c r="L56">
        <v>1200</v>
      </c>
      <c r="M56">
        <v>1500</v>
      </c>
      <c r="N56">
        <v>1030</v>
      </c>
      <c r="O56">
        <v>1030</v>
      </c>
      <c r="P56">
        <v>1500</v>
      </c>
      <c r="Q56">
        <v>780</v>
      </c>
      <c r="R56">
        <v>680</v>
      </c>
      <c r="S56">
        <v>1140</v>
      </c>
      <c r="T56">
        <v>1120</v>
      </c>
      <c r="U56">
        <v>1000</v>
      </c>
      <c r="V56">
        <v>750</v>
      </c>
      <c r="W56">
        <v>600</v>
      </c>
      <c r="X56">
        <v>950</v>
      </c>
      <c r="Y56">
        <v>1230</v>
      </c>
      <c r="Z56">
        <v>880</v>
      </c>
      <c r="AA56">
        <v>1050</v>
      </c>
      <c r="AB56">
        <v>1400</v>
      </c>
      <c r="AC56">
        <v>1400</v>
      </c>
      <c r="AD56">
        <v>650</v>
      </c>
    </row>
    <row r="57" spans="1:30">
      <c r="A57" t="s">
        <v>946</v>
      </c>
      <c r="B57">
        <f>+J8</f>
        <v>1785</v>
      </c>
      <c r="C57">
        <f>+J9</f>
        <v>2975</v>
      </c>
      <c r="D57">
        <f>+J10</f>
        <v>2275</v>
      </c>
      <c r="E57">
        <f>+J11</f>
        <v>2275</v>
      </c>
      <c r="F57">
        <f>+J12</f>
        <v>2275</v>
      </c>
      <c r="G57">
        <f>+J13</f>
        <v>2975</v>
      </c>
      <c r="H57">
        <f>+J14</f>
        <v>2975</v>
      </c>
      <c r="I57">
        <f>+J15</f>
        <v>2205</v>
      </c>
      <c r="J57">
        <f>+J16</f>
        <v>2205</v>
      </c>
      <c r="K57" s="312">
        <f>+J17</f>
        <v>2975</v>
      </c>
      <c r="L57">
        <f>+J18</f>
        <v>2275</v>
      </c>
      <c r="M57">
        <f>+J19</f>
        <v>2975</v>
      </c>
      <c r="N57">
        <f>+J20</f>
        <v>2205</v>
      </c>
      <c r="O57">
        <f>+J21</f>
        <v>2975</v>
      </c>
      <c r="P57">
        <f>+J22</f>
        <v>2975</v>
      </c>
      <c r="Q57">
        <f>+J23</f>
        <v>2275</v>
      </c>
      <c r="R57">
        <f>+J24</f>
        <v>2275</v>
      </c>
      <c r="S57">
        <f>+J25</f>
        <v>2205</v>
      </c>
      <c r="T57">
        <f>+J26</f>
        <v>1785</v>
      </c>
      <c r="U57">
        <f>+J27</f>
        <v>2275</v>
      </c>
      <c r="V57">
        <f>+J28</f>
        <v>2275</v>
      </c>
      <c r="W57">
        <f>+J29</f>
        <v>2275</v>
      </c>
      <c r="X57">
        <f>+J30</f>
        <v>2205</v>
      </c>
      <c r="Y57">
        <f>+J31</f>
        <v>2275</v>
      </c>
      <c r="Z57">
        <f>+J32</f>
        <v>1785</v>
      </c>
      <c r="AA57">
        <f>+J33</f>
        <v>2275</v>
      </c>
      <c r="AB57">
        <f>+J34</f>
        <v>2275</v>
      </c>
      <c r="AC57">
        <f>+J35</f>
        <v>2275</v>
      </c>
      <c r="AD57">
        <f>+J36</f>
        <v>2975</v>
      </c>
    </row>
    <row r="58" spans="1:30">
      <c r="A58" t="s">
        <v>947</v>
      </c>
      <c r="C58">
        <v>1800</v>
      </c>
      <c r="D58">
        <v>350</v>
      </c>
      <c r="E58">
        <v>350</v>
      </c>
      <c r="F58">
        <v>350</v>
      </c>
      <c r="G58">
        <v>1800</v>
      </c>
      <c r="H58">
        <v>1800</v>
      </c>
      <c r="I58">
        <v>350</v>
      </c>
      <c r="K58" s="312">
        <v>350</v>
      </c>
      <c r="M58">
        <v>1800</v>
      </c>
      <c r="O58">
        <v>1800</v>
      </c>
      <c r="P58">
        <v>1800</v>
      </c>
      <c r="U58">
        <v>350</v>
      </c>
      <c r="W58">
        <v>350</v>
      </c>
      <c r="AB58">
        <v>350</v>
      </c>
      <c r="AC58">
        <v>350</v>
      </c>
      <c r="AD58">
        <v>1800</v>
      </c>
    </row>
    <row r="59" spans="1:30">
      <c r="A59" t="s">
        <v>948</v>
      </c>
      <c r="C59">
        <v>650</v>
      </c>
      <c r="D59">
        <v>650</v>
      </c>
      <c r="G59">
        <v>650</v>
      </c>
      <c r="H59">
        <v>650</v>
      </c>
      <c r="I59">
        <v>850</v>
      </c>
      <c r="K59" s="312">
        <v>650</v>
      </c>
      <c r="M59">
        <v>650</v>
      </c>
      <c r="O59">
        <v>650</v>
      </c>
      <c r="P59">
        <v>650</v>
      </c>
      <c r="AD59">
        <v>1000</v>
      </c>
    </row>
    <row r="60" spans="1:30">
      <c r="A60" t="s">
        <v>949</v>
      </c>
      <c r="C60">
        <v>2000</v>
      </c>
      <c r="G60">
        <v>2000</v>
      </c>
      <c r="H60">
        <v>2000</v>
      </c>
      <c r="K60" s="312">
        <v>2000</v>
      </c>
      <c r="M60">
        <v>2000</v>
      </c>
      <c r="O60">
        <v>2000</v>
      </c>
      <c r="P60">
        <v>2000</v>
      </c>
      <c r="AD60">
        <v>2000</v>
      </c>
    </row>
    <row r="61" spans="1:30">
      <c r="A61" t="s">
        <v>950</v>
      </c>
      <c r="B61">
        <f>+H8</f>
        <v>66</v>
      </c>
      <c r="C61" s="294">
        <f>+H9</f>
        <v>396</v>
      </c>
      <c r="D61" s="294">
        <f>+H10</f>
        <v>234.29999999999998</v>
      </c>
      <c r="E61" s="294">
        <f>+H11</f>
        <v>204.6</v>
      </c>
      <c r="F61" s="294">
        <f>+H12</f>
        <v>234.29999999999998</v>
      </c>
      <c r="G61" s="294">
        <f>+H13</f>
        <v>445.5</v>
      </c>
      <c r="H61" s="294">
        <f>+H14</f>
        <v>452.09999999999997</v>
      </c>
      <c r="I61" s="294">
        <f>+H15</f>
        <v>234.29999999999998</v>
      </c>
      <c r="J61" s="294">
        <f>+H16</f>
        <v>161.69999999999999</v>
      </c>
      <c r="K61" s="317">
        <f>+H17</f>
        <v>333.29999999999995</v>
      </c>
      <c r="L61" s="294">
        <f>+H18</f>
        <v>95.699999999999989</v>
      </c>
      <c r="M61" s="294">
        <f>+H19</f>
        <v>521.4</v>
      </c>
      <c r="N61" s="294">
        <f>+H20</f>
        <v>122.1</v>
      </c>
      <c r="O61" s="294">
        <f>+H21</f>
        <v>412.5</v>
      </c>
      <c r="P61" s="294">
        <f>+H22</f>
        <v>339.9</v>
      </c>
      <c r="Q61" s="294">
        <f>+H23</f>
        <v>141.9</v>
      </c>
      <c r="R61" s="294">
        <f>+H24</f>
        <v>198</v>
      </c>
      <c r="S61" s="294">
        <f>+H25</f>
        <v>132</v>
      </c>
      <c r="T61" s="294">
        <f>+H26</f>
        <v>115.5</v>
      </c>
      <c r="U61" s="294">
        <f>+H27</f>
        <v>231</v>
      </c>
      <c r="V61" s="294">
        <f>+H28</f>
        <v>158.39999999999998</v>
      </c>
      <c r="W61" s="294">
        <f>+H29</f>
        <v>283.8</v>
      </c>
      <c r="X61" s="294">
        <f>+H30</f>
        <v>138.6</v>
      </c>
      <c r="Y61" s="294">
        <f>+H31</f>
        <v>184.79999999999998</v>
      </c>
      <c r="Z61" s="294">
        <f>+H32</f>
        <v>66</v>
      </c>
      <c r="AA61" s="294">
        <f>+H33</f>
        <v>188.1</v>
      </c>
      <c r="AB61" s="294">
        <f>+H34</f>
        <v>194.7</v>
      </c>
      <c r="AC61" s="294">
        <f>+H35</f>
        <v>257.39999999999998</v>
      </c>
      <c r="AD61" s="294">
        <f>+H36</f>
        <v>392.7</v>
      </c>
    </row>
    <row r="62" spans="1:30">
      <c r="A62" t="s">
        <v>951</v>
      </c>
      <c r="B62">
        <f>+L8</f>
        <v>12600</v>
      </c>
      <c r="C62">
        <f>+L9</f>
        <v>17220</v>
      </c>
      <c r="D62">
        <f>+L10</f>
        <v>12600</v>
      </c>
      <c r="E62">
        <f>+L11</f>
        <v>14100</v>
      </c>
      <c r="F62">
        <f>+L12</f>
        <v>13200</v>
      </c>
      <c r="G62">
        <f>+L13</f>
        <v>20700</v>
      </c>
      <c r="H62">
        <f>+L14</f>
        <v>21480</v>
      </c>
      <c r="I62">
        <f>+L15</f>
        <v>13800</v>
      </c>
      <c r="J62">
        <f>+L16</f>
        <v>15420</v>
      </c>
      <c r="K62" s="312">
        <f>+L17</f>
        <v>14820</v>
      </c>
      <c r="L62">
        <f>+L17</f>
        <v>14820</v>
      </c>
      <c r="M62">
        <f>+L19</f>
        <v>20700</v>
      </c>
      <c r="N62">
        <f>+L20</f>
        <v>13800</v>
      </c>
      <c r="O62">
        <f>+L21</f>
        <v>16740</v>
      </c>
      <c r="P62">
        <f>+L22</f>
        <v>21480</v>
      </c>
      <c r="Q62">
        <f>+L23</f>
        <v>13080</v>
      </c>
      <c r="R62">
        <f>+L24</f>
        <v>12600</v>
      </c>
      <c r="S62">
        <f>+L25</f>
        <v>13920</v>
      </c>
      <c r="T62">
        <f>+L26</f>
        <v>13200</v>
      </c>
      <c r="U62">
        <f>+L27</f>
        <v>15360</v>
      </c>
      <c r="V62">
        <f>+L28</f>
        <v>14520</v>
      </c>
      <c r="W62">
        <f>+L29</f>
        <v>13200</v>
      </c>
      <c r="X62">
        <f>+L30</f>
        <v>13920</v>
      </c>
      <c r="Y62">
        <f>+L31</f>
        <v>12960</v>
      </c>
      <c r="Z62">
        <f>+L32</f>
        <v>12600</v>
      </c>
      <c r="AA62">
        <f>+L33</f>
        <v>13800</v>
      </c>
      <c r="AB62">
        <f>+L34</f>
        <v>14400</v>
      </c>
      <c r="AC62">
        <f>+L35</f>
        <v>13200</v>
      </c>
      <c r="AD62">
        <f>+L36</f>
        <v>17700</v>
      </c>
    </row>
    <row r="63" spans="1:30">
      <c r="A63" t="s">
        <v>952</v>
      </c>
      <c r="B63">
        <f>+O8</f>
        <v>0</v>
      </c>
      <c r="C63">
        <f>+O9</f>
        <v>320</v>
      </c>
      <c r="D63">
        <f>+O10</f>
        <v>0</v>
      </c>
      <c r="E63">
        <f>+O11</f>
        <v>0</v>
      </c>
      <c r="F63">
        <f>+O12</f>
        <v>0</v>
      </c>
      <c r="G63">
        <f>+O13</f>
        <v>440</v>
      </c>
      <c r="H63">
        <f>+O14</f>
        <v>456</v>
      </c>
      <c r="I63">
        <f>+O15</f>
        <v>0</v>
      </c>
      <c r="J63">
        <f>+O16</f>
        <v>0</v>
      </c>
      <c r="K63" s="312">
        <f>+O17</f>
        <v>168</v>
      </c>
      <c r="L63">
        <f>+O18</f>
        <v>0</v>
      </c>
      <c r="M63">
        <f>+O19</f>
        <v>624</v>
      </c>
      <c r="N63">
        <f>+O20</f>
        <v>0</v>
      </c>
      <c r="O63">
        <f>+O21</f>
        <v>360</v>
      </c>
      <c r="P63">
        <f>+O22</f>
        <v>184</v>
      </c>
      <c r="Q63">
        <f>+O23</f>
        <v>0</v>
      </c>
      <c r="R63">
        <f>+O24</f>
        <v>0</v>
      </c>
      <c r="S63">
        <f>+O25</f>
        <v>0</v>
      </c>
      <c r="T63">
        <f>+O26</f>
        <v>0</v>
      </c>
      <c r="U63">
        <f>+O27</f>
        <v>0</v>
      </c>
      <c r="V63">
        <f>+O28</f>
        <v>0</v>
      </c>
      <c r="W63">
        <f>+O29</f>
        <v>48</v>
      </c>
      <c r="X63">
        <f>+O30</f>
        <v>0</v>
      </c>
      <c r="Y63">
        <f>+O31</f>
        <v>0</v>
      </c>
      <c r="Z63">
        <f>+O32</f>
        <v>0</v>
      </c>
      <c r="AA63">
        <f>+O33</f>
        <v>0</v>
      </c>
      <c r="AB63">
        <f>+O34</f>
        <v>0</v>
      </c>
      <c r="AC63">
        <f>+O35</f>
        <v>0</v>
      </c>
      <c r="AD63">
        <f>+O36</f>
        <v>312</v>
      </c>
    </row>
    <row r="64" spans="1:30">
      <c r="A64" t="s">
        <v>953</v>
      </c>
      <c r="B64">
        <v>710</v>
      </c>
      <c r="C64">
        <v>1030</v>
      </c>
      <c r="D64">
        <v>720</v>
      </c>
      <c r="E64">
        <v>1020</v>
      </c>
      <c r="F64">
        <v>1150</v>
      </c>
      <c r="G64">
        <v>730</v>
      </c>
      <c r="H64">
        <v>990</v>
      </c>
      <c r="I64">
        <v>710</v>
      </c>
      <c r="J64">
        <v>800</v>
      </c>
      <c r="K64" s="312">
        <v>1330</v>
      </c>
      <c r="L64">
        <v>880</v>
      </c>
      <c r="M64">
        <v>930</v>
      </c>
      <c r="N64">
        <v>620</v>
      </c>
      <c r="O64">
        <v>1230</v>
      </c>
      <c r="Q64">
        <v>620</v>
      </c>
      <c r="R64">
        <v>620</v>
      </c>
      <c r="S64">
        <v>820</v>
      </c>
      <c r="T64">
        <v>930</v>
      </c>
      <c r="U64">
        <v>520</v>
      </c>
      <c r="V64">
        <v>520</v>
      </c>
      <c r="W64">
        <v>620</v>
      </c>
      <c r="X64">
        <v>620</v>
      </c>
      <c r="Y64">
        <v>1050</v>
      </c>
      <c r="Z64">
        <v>620</v>
      </c>
      <c r="AA64">
        <v>620</v>
      </c>
      <c r="AB64">
        <v>1070</v>
      </c>
      <c r="AC64">
        <v>1200</v>
      </c>
      <c r="AD64">
        <v>840</v>
      </c>
    </row>
    <row r="65" spans="1:30">
      <c r="A65" t="s">
        <v>954</v>
      </c>
      <c r="C65">
        <v>800</v>
      </c>
      <c r="G65">
        <v>400</v>
      </c>
      <c r="H65">
        <v>400</v>
      </c>
      <c r="K65" s="312">
        <v>400</v>
      </c>
      <c r="M65">
        <v>400</v>
      </c>
      <c r="O65">
        <v>400</v>
      </c>
      <c r="P65">
        <v>400</v>
      </c>
      <c r="Q65">
        <v>400</v>
      </c>
      <c r="AC65">
        <v>400</v>
      </c>
      <c r="AD65">
        <v>800</v>
      </c>
    </row>
    <row r="66" spans="1:30">
      <c r="A66" t="s">
        <v>955</v>
      </c>
      <c r="C66">
        <v>2000</v>
      </c>
      <c r="G66">
        <v>2000</v>
      </c>
      <c r="H66">
        <v>2000</v>
      </c>
      <c r="K66" s="312">
        <v>2000</v>
      </c>
      <c r="M66">
        <v>2000</v>
      </c>
      <c r="O66">
        <v>2000</v>
      </c>
      <c r="P66">
        <v>2000</v>
      </c>
      <c r="AD66">
        <v>2000</v>
      </c>
    </row>
    <row r="67" spans="1:30">
      <c r="A67" t="s">
        <v>956</v>
      </c>
      <c r="C67">
        <v>1125</v>
      </c>
      <c r="D67">
        <v>650</v>
      </c>
      <c r="E67">
        <v>650</v>
      </c>
      <c r="F67">
        <v>650</v>
      </c>
      <c r="G67">
        <v>1125</v>
      </c>
      <c r="H67">
        <v>1125</v>
      </c>
      <c r="I67">
        <v>650</v>
      </c>
      <c r="J67">
        <v>650</v>
      </c>
      <c r="K67" s="312">
        <v>890</v>
      </c>
      <c r="M67">
        <v>1125</v>
      </c>
      <c r="O67">
        <v>1125</v>
      </c>
      <c r="P67">
        <v>890</v>
      </c>
      <c r="Q67">
        <v>650</v>
      </c>
      <c r="R67">
        <v>650</v>
      </c>
      <c r="S67">
        <v>650</v>
      </c>
      <c r="U67">
        <v>650</v>
      </c>
      <c r="V67">
        <v>650</v>
      </c>
      <c r="W67">
        <v>890</v>
      </c>
      <c r="X67">
        <v>650</v>
      </c>
      <c r="Y67">
        <v>650</v>
      </c>
      <c r="AA67">
        <v>650</v>
      </c>
      <c r="AB67">
        <v>650</v>
      </c>
      <c r="AC67">
        <v>650</v>
      </c>
      <c r="AD67">
        <v>1125</v>
      </c>
    </row>
    <row r="68" spans="1:30">
      <c r="A68" t="s">
        <v>957</v>
      </c>
      <c r="C68">
        <v>400</v>
      </c>
      <c r="G68">
        <v>400</v>
      </c>
      <c r="H68">
        <v>400</v>
      </c>
      <c r="I68">
        <v>400</v>
      </c>
      <c r="K68" s="312">
        <v>400</v>
      </c>
      <c r="M68">
        <v>400</v>
      </c>
      <c r="O68">
        <v>400</v>
      </c>
      <c r="P68">
        <v>400</v>
      </c>
      <c r="AD68">
        <v>400</v>
      </c>
    </row>
    <row r="69" spans="1:30">
      <c r="A69" t="s">
        <v>958</v>
      </c>
      <c r="C69">
        <v>300</v>
      </c>
      <c r="G69">
        <v>300</v>
      </c>
      <c r="H69">
        <v>300</v>
      </c>
      <c r="I69">
        <v>300</v>
      </c>
      <c r="K69" s="312">
        <v>300</v>
      </c>
      <c r="M69">
        <v>300</v>
      </c>
      <c r="O69">
        <v>300</v>
      </c>
      <c r="P69">
        <v>300</v>
      </c>
      <c r="AD69">
        <v>300</v>
      </c>
    </row>
    <row r="70" spans="1:30">
      <c r="A70" t="s">
        <v>1072</v>
      </c>
      <c r="C70">
        <f>+Y9</f>
        <v>240</v>
      </c>
      <c r="D70">
        <f>+Y10</f>
        <v>142</v>
      </c>
      <c r="E70">
        <f>+Y11</f>
        <v>124</v>
      </c>
      <c r="F70">
        <f>+Y12</f>
        <v>142</v>
      </c>
      <c r="G70">
        <f>+Y13</f>
        <v>270</v>
      </c>
      <c r="H70">
        <f>+Y14</f>
        <v>274</v>
      </c>
      <c r="I70">
        <f>+Y15</f>
        <v>142</v>
      </c>
      <c r="J70">
        <f>+Y16</f>
        <v>98</v>
      </c>
      <c r="K70">
        <f>+Y17</f>
        <v>202</v>
      </c>
      <c r="L70">
        <f>+Y18</f>
        <v>58</v>
      </c>
      <c r="M70">
        <f>+Y19</f>
        <v>316</v>
      </c>
      <c r="N70">
        <f>+Y20</f>
        <v>74</v>
      </c>
      <c r="O70">
        <f>+Y21</f>
        <v>250</v>
      </c>
      <c r="P70">
        <f>+Y22</f>
        <v>206</v>
      </c>
      <c r="Q70">
        <f>+Y23</f>
        <v>86</v>
      </c>
      <c r="R70">
        <f>+Y24</f>
        <v>120</v>
      </c>
      <c r="S70">
        <f>+Y25</f>
        <v>80</v>
      </c>
      <c r="T70">
        <f>+Y26</f>
        <v>70</v>
      </c>
      <c r="U70">
        <f>+Y27</f>
        <v>140</v>
      </c>
      <c r="V70">
        <f>+Y28</f>
        <v>96</v>
      </c>
      <c r="W70">
        <f>+Y29</f>
        <v>172</v>
      </c>
      <c r="X70">
        <f>+Y30</f>
        <v>84</v>
      </c>
      <c r="Y70">
        <f>+Y31</f>
        <v>112</v>
      </c>
      <c r="Z70">
        <f>+Y32</f>
        <v>0</v>
      </c>
      <c r="AA70">
        <f>+Y33</f>
        <v>114</v>
      </c>
      <c r="AB70">
        <f>+Y34</f>
        <v>118</v>
      </c>
      <c r="AC70">
        <f>+Y35</f>
        <v>156</v>
      </c>
      <c r="AD70">
        <f>+Y36</f>
        <v>238</v>
      </c>
    </row>
    <row r="71" spans="1:30">
      <c r="A71" t="s">
        <v>959</v>
      </c>
      <c r="B71">
        <v>0</v>
      </c>
      <c r="C71">
        <v>200</v>
      </c>
      <c r="D71">
        <v>80</v>
      </c>
      <c r="E71">
        <v>80</v>
      </c>
      <c r="F71">
        <v>80</v>
      </c>
      <c r="G71">
        <v>200</v>
      </c>
      <c r="H71">
        <v>200</v>
      </c>
      <c r="I71">
        <v>80</v>
      </c>
      <c r="J71">
        <v>50</v>
      </c>
      <c r="K71" s="312">
        <v>80</v>
      </c>
      <c r="M71">
        <v>200</v>
      </c>
      <c r="N71">
        <v>50</v>
      </c>
      <c r="O71">
        <v>200</v>
      </c>
      <c r="P71">
        <v>200</v>
      </c>
      <c r="Q71">
        <v>50</v>
      </c>
      <c r="R71">
        <v>80</v>
      </c>
      <c r="S71">
        <v>50</v>
      </c>
      <c r="T71">
        <v>50</v>
      </c>
      <c r="U71">
        <v>80</v>
      </c>
      <c r="V71">
        <v>50</v>
      </c>
      <c r="W71">
        <v>80</v>
      </c>
      <c r="X71">
        <v>50</v>
      </c>
      <c r="Y71">
        <v>50</v>
      </c>
      <c r="AA71">
        <v>50</v>
      </c>
      <c r="AB71">
        <v>50</v>
      </c>
      <c r="AC71">
        <v>80</v>
      </c>
      <c r="AD71">
        <v>200</v>
      </c>
    </row>
    <row r="72" spans="1:30">
      <c r="A72" t="s">
        <v>960</v>
      </c>
      <c r="B72">
        <f>+Q8</f>
        <v>440</v>
      </c>
      <c r="C72">
        <f>+Q9</f>
        <v>520</v>
      </c>
      <c r="D72">
        <f>+Q10</f>
        <v>440</v>
      </c>
      <c r="E72">
        <f>+Q11</f>
        <v>440</v>
      </c>
      <c r="F72">
        <f>+Q12</f>
        <v>560</v>
      </c>
      <c r="G72">
        <f>+Q13</f>
        <v>640</v>
      </c>
      <c r="H72">
        <f>+Q14</f>
        <v>640</v>
      </c>
      <c r="I72">
        <f>+Q15</f>
        <v>480</v>
      </c>
      <c r="J72">
        <f>+Q16</f>
        <v>440</v>
      </c>
      <c r="K72" s="312">
        <f>+Q17</f>
        <v>640</v>
      </c>
      <c r="L72">
        <f>+Q18</f>
        <v>520</v>
      </c>
      <c r="M72">
        <f>+Q19</f>
        <v>640</v>
      </c>
      <c r="N72">
        <f>+Q20</f>
        <v>600</v>
      </c>
      <c r="O72">
        <f>+Q21</f>
        <v>560</v>
      </c>
      <c r="P72">
        <f>+Q22</f>
        <v>640</v>
      </c>
      <c r="Q72">
        <f>+Q23</f>
        <v>440</v>
      </c>
      <c r="R72">
        <f>+Q24</f>
        <v>400</v>
      </c>
      <c r="S72">
        <f>+Q25</f>
        <v>520</v>
      </c>
      <c r="T72">
        <f>+Q26</f>
        <v>440</v>
      </c>
      <c r="U72">
        <f>+Q27</f>
        <v>600</v>
      </c>
      <c r="V72">
        <f>+Q28</f>
        <v>640</v>
      </c>
      <c r="W72">
        <f>+Q29</f>
        <v>440</v>
      </c>
      <c r="X72">
        <f>+Q30</f>
        <v>640</v>
      </c>
      <c r="Y72">
        <f>+Q31</f>
        <v>560</v>
      </c>
      <c r="Z72">
        <f>+Q32</f>
        <v>480</v>
      </c>
      <c r="AA72">
        <f>+Q33</f>
        <v>680</v>
      </c>
      <c r="AB72">
        <f>+Q34</f>
        <v>560</v>
      </c>
      <c r="AC72">
        <f>+Q35</f>
        <v>520</v>
      </c>
      <c r="AD72">
        <f>+Q36</f>
        <v>640</v>
      </c>
    </row>
    <row r="73" spans="1:30">
      <c r="A73" t="s">
        <v>961</v>
      </c>
      <c r="B73">
        <f>+S8</f>
        <v>396</v>
      </c>
      <c r="C73">
        <f>+S9</f>
        <v>720</v>
      </c>
      <c r="D73">
        <f>+S10</f>
        <v>504</v>
      </c>
      <c r="E73">
        <f>+S11</f>
        <v>486</v>
      </c>
      <c r="F73">
        <f>+S12</f>
        <v>486</v>
      </c>
      <c r="G73">
        <f>+S13</f>
        <v>720</v>
      </c>
      <c r="H73">
        <f>+S14</f>
        <v>720</v>
      </c>
      <c r="I73">
        <f>+S15</f>
        <v>495</v>
      </c>
      <c r="J73">
        <f>+S16</f>
        <v>468</v>
      </c>
      <c r="K73" s="312">
        <f>+S17</f>
        <v>720</v>
      </c>
      <c r="L73">
        <f>+S18</f>
        <v>540</v>
      </c>
      <c r="M73">
        <f>+S19</f>
        <v>720</v>
      </c>
      <c r="N73">
        <f>+S20</f>
        <v>468</v>
      </c>
      <c r="O73">
        <f>+S21</f>
        <v>720</v>
      </c>
      <c r="P73">
        <f>+S22</f>
        <v>720</v>
      </c>
      <c r="Q73">
        <f>+S23</f>
        <v>468</v>
      </c>
      <c r="R73">
        <f>+S24</f>
        <v>486</v>
      </c>
      <c r="S73">
        <f>+S25</f>
        <v>468</v>
      </c>
      <c r="T73">
        <f>+S26</f>
        <v>396</v>
      </c>
      <c r="U73">
        <f>+S27</f>
        <v>486</v>
      </c>
      <c r="V73">
        <f>+S28</f>
        <v>468</v>
      </c>
      <c r="W73">
        <f>+S29</f>
        <v>486</v>
      </c>
      <c r="X73">
        <f>+S30</f>
        <v>468</v>
      </c>
      <c r="Y73">
        <f>+S31</f>
        <v>468</v>
      </c>
      <c r="Z73">
        <f>+S32</f>
        <v>396</v>
      </c>
      <c r="AA73">
        <f>+S33</f>
        <v>468</v>
      </c>
      <c r="AB73">
        <f>+S34</f>
        <v>585</v>
      </c>
      <c r="AC73">
        <f>+S35</f>
        <v>486</v>
      </c>
      <c r="AD73">
        <f>+S36</f>
        <v>720</v>
      </c>
    </row>
    <row r="74" spans="1:30">
      <c r="A74" t="s">
        <v>991</v>
      </c>
      <c r="O74">
        <f>8000*0.2</f>
        <v>1600</v>
      </c>
    </row>
    <row r="75" spans="1:30">
      <c r="A75" t="s">
        <v>962</v>
      </c>
      <c r="C75">
        <v>600</v>
      </c>
      <c r="G75">
        <v>600</v>
      </c>
      <c r="H75">
        <v>600</v>
      </c>
      <c r="K75" s="312">
        <v>600</v>
      </c>
      <c r="M75">
        <v>600</v>
      </c>
      <c r="O75">
        <v>600</v>
      </c>
      <c r="P75">
        <v>600</v>
      </c>
      <c r="AD75">
        <v>600</v>
      </c>
    </row>
    <row r="76" spans="1:30">
      <c r="A76" t="s">
        <v>963</v>
      </c>
      <c r="C76">
        <v>200</v>
      </c>
      <c r="G76">
        <v>200</v>
      </c>
      <c r="H76">
        <v>200</v>
      </c>
      <c r="K76" s="312">
        <v>200</v>
      </c>
      <c r="M76">
        <v>200</v>
      </c>
      <c r="O76">
        <v>200</v>
      </c>
      <c r="P76">
        <v>200</v>
      </c>
      <c r="AD76">
        <v>200</v>
      </c>
    </row>
    <row r="77" spans="1:30">
      <c r="A77" t="s">
        <v>964</v>
      </c>
      <c r="B77">
        <f>+B52</f>
        <v>66</v>
      </c>
      <c r="C77">
        <f t="shared" ref="C77:AD77" si="20">+C52</f>
        <v>396</v>
      </c>
      <c r="D77">
        <f t="shared" si="20"/>
        <v>234.29999999999998</v>
      </c>
      <c r="E77">
        <f t="shared" si="20"/>
        <v>204.6</v>
      </c>
      <c r="F77">
        <f t="shared" si="20"/>
        <v>234.29999999999998</v>
      </c>
      <c r="G77">
        <f t="shared" si="20"/>
        <v>445.5</v>
      </c>
      <c r="H77">
        <f t="shared" si="20"/>
        <v>452.09999999999997</v>
      </c>
      <c r="I77">
        <f t="shared" si="20"/>
        <v>234.29999999999998</v>
      </c>
      <c r="J77">
        <f t="shared" si="20"/>
        <v>161.69999999999999</v>
      </c>
      <c r="K77" s="312">
        <f t="shared" si="20"/>
        <v>333.29999999999995</v>
      </c>
      <c r="L77">
        <f t="shared" si="20"/>
        <v>95.699999999999989</v>
      </c>
      <c r="M77">
        <f t="shared" si="20"/>
        <v>521.4</v>
      </c>
      <c r="N77">
        <f t="shared" si="20"/>
        <v>122.1</v>
      </c>
      <c r="O77">
        <f t="shared" si="20"/>
        <v>412.5</v>
      </c>
      <c r="P77">
        <f t="shared" si="20"/>
        <v>339.9</v>
      </c>
      <c r="Q77">
        <f t="shared" si="20"/>
        <v>141.9</v>
      </c>
      <c r="R77">
        <f t="shared" si="20"/>
        <v>198</v>
      </c>
      <c r="S77">
        <f t="shared" si="20"/>
        <v>132</v>
      </c>
      <c r="T77">
        <f t="shared" si="20"/>
        <v>115.5</v>
      </c>
      <c r="U77">
        <f t="shared" si="20"/>
        <v>231</v>
      </c>
      <c r="V77">
        <f t="shared" si="20"/>
        <v>158.39999999999998</v>
      </c>
      <c r="W77">
        <f t="shared" si="20"/>
        <v>283.8</v>
      </c>
      <c r="X77">
        <f t="shared" si="20"/>
        <v>138.6</v>
      </c>
      <c r="Y77">
        <f t="shared" si="20"/>
        <v>184.79999999999998</v>
      </c>
      <c r="Z77">
        <f t="shared" si="20"/>
        <v>66</v>
      </c>
      <c r="AA77">
        <f t="shared" si="20"/>
        <v>188.1</v>
      </c>
      <c r="AB77">
        <f t="shared" si="20"/>
        <v>194.7</v>
      </c>
      <c r="AC77">
        <f t="shared" si="20"/>
        <v>257.39999999999998</v>
      </c>
      <c r="AD77">
        <f t="shared" si="20"/>
        <v>392.7</v>
      </c>
    </row>
    <row r="78" spans="1:30">
      <c r="A78" t="s">
        <v>965</v>
      </c>
      <c r="C78">
        <v>85</v>
      </c>
      <c r="D78">
        <v>65</v>
      </c>
      <c r="E78">
        <v>65</v>
      </c>
      <c r="F78">
        <v>65</v>
      </c>
      <c r="G78">
        <v>85</v>
      </c>
      <c r="H78">
        <v>85</v>
      </c>
      <c r="I78">
        <v>65</v>
      </c>
      <c r="K78" s="312">
        <v>65</v>
      </c>
      <c r="M78">
        <v>85</v>
      </c>
      <c r="O78">
        <v>85</v>
      </c>
      <c r="P78">
        <v>85</v>
      </c>
      <c r="R78">
        <v>65</v>
      </c>
      <c r="U78">
        <v>65</v>
      </c>
      <c r="W78">
        <v>65</v>
      </c>
      <c r="AB78">
        <v>65</v>
      </c>
      <c r="AC78">
        <v>65</v>
      </c>
      <c r="AD78">
        <v>85</v>
      </c>
    </row>
    <row r="79" spans="1:30">
      <c r="A79" t="s">
        <v>966</v>
      </c>
      <c r="C79">
        <v>110</v>
      </c>
      <c r="D79">
        <v>60</v>
      </c>
      <c r="E79">
        <v>60</v>
      </c>
      <c r="F79">
        <v>60</v>
      </c>
      <c r="G79">
        <v>110</v>
      </c>
      <c r="H79">
        <v>110</v>
      </c>
      <c r="I79">
        <v>60</v>
      </c>
      <c r="J79">
        <v>60</v>
      </c>
      <c r="K79" s="312">
        <v>60</v>
      </c>
      <c r="M79">
        <v>110</v>
      </c>
      <c r="O79">
        <v>110</v>
      </c>
      <c r="P79">
        <v>110</v>
      </c>
      <c r="Q79">
        <v>60</v>
      </c>
      <c r="R79">
        <v>60</v>
      </c>
      <c r="U79">
        <v>60</v>
      </c>
      <c r="V79">
        <v>60</v>
      </c>
      <c r="W79">
        <v>60</v>
      </c>
      <c r="X79">
        <v>60</v>
      </c>
      <c r="Y79">
        <v>60</v>
      </c>
      <c r="AA79">
        <v>60</v>
      </c>
      <c r="AB79">
        <v>60</v>
      </c>
      <c r="AC79">
        <v>60</v>
      </c>
      <c r="AD79">
        <v>110</v>
      </c>
    </row>
    <row r="80" spans="1:30">
      <c r="A80" t="s">
        <v>967</v>
      </c>
      <c r="C80">
        <f>0.4*800</f>
        <v>320</v>
      </c>
      <c r="D80">
        <f t="shared" ref="D80:R80" si="21">0.4*800</f>
        <v>320</v>
      </c>
      <c r="E80">
        <f t="shared" si="21"/>
        <v>320</v>
      </c>
      <c r="F80">
        <f t="shared" si="21"/>
        <v>320</v>
      </c>
      <c r="G80">
        <f t="shared" si="21"/>
        <v>320</v>
      </c>
      <c r="H80">
        <f t="shared" si="21"/>
        <v>320</v>
      </c>
      <c r="I80">
        <f t="shared" si="21"/>
        <v>320</v>
      </c>
      <c r="J80">
        <f t="shared" si="21"/>
        <v>320</v>
      </c>
      <c r="K80" s="312">
        <f t="shared" si="21"/>
        <v>320</v>
      </c>
      <c r="M80">
        <f t="shared" si="21"/>
        <v>320</v>
      </c>
      <c r="O80">
        <f t="shared" si="21"/>
        <v>320</v>
      </c>
      <c r="P80">
        <f t="shared" si="21"/>
        <v>320</v>
      </c>
      <c r="R80">
        <f t="shared" si="21"/>
        <v>320</v>
      </c>
      <c r="U80">
        <f>0.4*800</f>
        <v>320</v>
      </c>
      <c r="W80">
        <f>0.4*800</f>
        <v>320</v>
      </c>
      <c r="Y80">
        <f>0.4*800</f>
        <v>320</v>
      </c>
      <c r="AA80">
        <f>0.4*800</f>
        <v>320</v>
      </c>
      <c r="AB80">
        <f>0.4*800</f>
        <v>320</v>
      </c>
      <c r="AC80">
        <f>0.4*800</f>
        <v>320</v>
      </c>
      <c r="AD80">
        <f>0.4*800</f>
        <v>320</v>
      </c>
    </row>
    <row r="81" spans="1:31">
      <c r="A81" t="s">
        <v>968</v>
      </c>
      <c r="C81">
        <v>832</v>
      </c>
      <c r="D81">
        <v>832</v>
      </c>
      <c r="E81">
        <v>832</v>
      </c>
      <c r="F81">
        <v>832</v>
      </c>
      <c r="G81">
        <v>832</v>
      </c>
      <c r="H81">
        <v>832</v>
      </c>
      <c r="M81">
        <v>832</v>
      </c>
      <c r="O81">
        <v>832</v>
      </c>
      <c r="P81">
        <v>832</v>
      </c>
      <c r="R81">
        <v>832</v>
      </c>
      <c r="U81">
        <v>832</v>
      </c>
      <c r="W81">
        <v>832</v>
      </c>
      <c r="AB81">
        <v>832</v>
      </c>
      <c r="AC81">
        <v>832</v>
      </c>
      <c r="AD81">
        <v>832</v>
      </c>
    </row>
    <row r="82" spans="1:31">
      <c r="A82" t="s">
        <v>969</v>
      </c>
      <c r="C82">
        <v>230</v>
      </c>
      <c r="D82">
        <v>115</v>
      </c>
      <c r="E82">
        <v>115</v>
      </c>
      <c r="F82">
        <v>115</v>
      </c>
      <c r="G82">
        <v>230</v>
      </c>
      <c r="H82">
        <v>230</v>
      </c>
      <c r="I82">
        <v>115</v>
      </c>
      <c r="J82">
        <v>115</v>
      </c>
      <c r="K82" s="312">
        <v>230</v>
      </c>
      <c r="M82">
        <v>230</v>
      </c>
      <c r="O82">
        <v>230</v>
      </c>
      <c r="P82">
        <v>230</v>
      </c>
      <c r="Q82">
        <v>115</v>
      </c>
      <c r="R82">
        <v>115</v>
      </c>
      <c r="S82">
        <v>115</v>
      </c>
      <c r="U82">
        <v>115</v>
      </c>
      <c r="V82">
        <v>115</v>
      </c>
      <c r="W82">
        <v>230</v>
      </c>
      <c r="X82">
        <v>115</v>
      </c>
      <c r="Y82">
        <v>115</v>
      </c>
      <c r="AA82">
        <v>115</v>
      </c>
      <c r="AB82">
        <v>115</v>
      </c>
      <c r="AC82">
        <v>115</v>
      </c>
      <c r="AD82">
        <v>230</v>
      </c>
    </row>
    <row r="83" spans="1:31">
      <c r="A83" t="s">
        <v>970</v>
      </c>
      <c r="C83">
        <f>+U9</f>
        <v>240</v>
      </c>
      <c r="D83">
        <f>+U10</f>
        <v>0</v>
      </c>
      <c r="E83">
        <f>+U11</f>
        <v>0</v>
      </c>
      <c r="F83">
        <f>+U12</f>
        <v>0</v>
      </c>
      <c r="G83">
        <f>+U13</f>
        <v>330</v>
      </c>
      <c r="H83">
        <f>+U14</f>
        <v>342</v>
      </c>
      <c r="I83">
        <f>+U15</f>
        <v>0</v>
      </c>
      <c r="J83">
        <f>+U16</f>
        <v>0</v>
      </c>
      <c r="K83" s="312">
        <f>+U17</f>
        <v>126</v>
      </c>
      <c r="L83">
        <f>+U18</f>
        <v>0</v>
      </c>
      <c r="M83">
        <f>+U19</f>
        <v>468</v>
      </c>
      <c r="N83">
        <f>+U20</f>
        <v>0</v>
      </c>
      <c r="O83">
        <f>+U21</f>
        <v>270</v>
      </c>
      <c r="P83">
        <f>+U22</f>
        <v>138</v>
      </c>
      <c r="Q83">
        <f>+U23</f>
        <v>0</v>
      </c>
      <c r="R83">
        <f>+U24</f>
        <v>0</v>
      </c>
      <c r="S83">
        <f>+U25</f>
        <v>0</v>
      </c>
      <c r="T83">
        <f>+U26</f>
        <v>0</v>
      </c>
      <c r="U83">
        <f>+U27</f>
        <v>0</v>
      </c>
      <c r="V83">
        <f>+U28</f>
        <v>0</v>
      </c>
      <c r="W83">
        <f>+U29</f>
        <v>36</v>
      </c>
      <c r="X83">
        <f>+U30</f>
        <v>0</v>
      </c>
      <c r="Y83">
        <f>+U31</f>
        <v>0</v>
      </c>
      <c r="Z83">
        <f>+U32</f>
        <v>0</v>
      </c>
      <c r="AA83">
        <f>+U33</f>
        <v>0</v>
      </c>
      <c r="AB83">
        <f>+U34</f>
        <v>0</v>
      </c>
      <c r="AC83">
        <f>+U35</f>
        <v>0</v>
      </c>
      <c r="AD83">
        <f>+U36</f>
        <v>234</v>
      </c>
    </row>
    <row r="84" spans="1:31">
      <c r="A84" t="s">
        <v>971</v>
      </c>
      <c r="C84">
        <v>200</v>
      </c>
      <c r="G84">
        <v>200</v>
      </c>
      <c r="H84">
        <v>200</v>
      </c>
      <c r="K84" s="312">
        <v>200</v>
      </c>
      <c r="M84">
        <v>200</v>
      </c>
      <c r="O84">
        <v>200</v>
      </c>
      <c r="P84">
        <v>200</v>
      </c>
      <c r="AD84">
        <v>200</v>
      </c>
    </row>
    <row r="85" spans="1:31">
      <c r="A85" t="s">
        <v>972</v>
      </c>
      <c r="C85">
        <v>200</v>
      </c>
      <c r="G85">
        <v>200</v>
      </c>
      <c r="H85">
        <v>200</v>
      </c>
      <c r="K85" s="312">
        <v>200</v>
      </c>
      <c r="M85">
        <v>200</v>
      </c>
      <c r="O85">
        <v>200</v>
      </c>
      <c r="P85">
        <v>200</v>
      </c>
      <c r="AD85">
        <v>200</v>
      </c>
    </row>
    <row r="86" spans="1:31">
      <c r="A86" t="s">
        <v>973</v>
      </c>
      <c r="C86">
        <v>200</v>
      </c>
      <c r="D86">
        <v>200</v>
      </c>
      <c r="E86">
        <v>200</v>
      </c>
      <c r="F86">
        <v>200</v>
      </c>
      <c r="G86">
        <v>200</v>
      </c>
      <c r="H86">
        <v>200</v>
      </c>
      <c r="I86">
        <v>200</v>
      </c>
      <c r="K86" s="312">
        <v>200</v>
      </c>
      <c r="M86">
        <v>200</v>
      </c>
      <c r="O86">
        <v>200</v>
      </c>
      <c r="P86">
        <v>200</v>
      </c>
      <c r="R86">
        <v>200</v>
      </c>
      <c r="U86">
        <v>200</v>
      </c>
      <c r="W86">
        <v>200</v>
      </c>
      <c r="AB86">
        <v>200</v>
      </c>
      <c r="AC86">
        <v>200</v>
      </c>
      <c r="AD86">
        <v>200</v>
      </c>
    </row>
    <row r="87" spans="1:31">
      <c r="A87" t="s">
        <v>974</v>
      </c>
      <c r="C87">
        <v>500</v>
      </c>
      <c r="G87">
        <v>500</v>
      </c>
      <c r="H87">
        <v>500</v>
      </c>
      <c r="K87" s="312">
        <v>500</v>
      </c>
      <c r="M87">
        <v>500</v>
      </c>
      <c r="O87">
        <v>500</v>
      </c>
      <c r="P87">
        <v>500</v>
      </c>
      <c r="AD87">
        <v>500</v>
      </c>
    </row>
    <row r="88" spans="1:31">
      <c r="A88" t="s">
        <v>975</v>
      </c>
      <c r="C88">
        <v>231</v>
      </c>
      <c r="D88">
        <v>139</v>
      </c>
      <c r="E88">
        <v>139</v>
      </c>
      <c r="F88">
        <v>139</v>
      </c>
      <c r="G88">
        <v>139</v>
      </c>
      <c r="H88">
        <v>139</v>
      </c>
      <c r="I88">
        <v>139</v>
      </c>
      <c r="J88">
        <v>38</v>
      </c>
      <c r="K88" s="312">
        <v>231</v>
      </c>
      <c r="L88">
        <v>38</v>
      </c>
      <c r="M88">
        <v>139</v>
      </c>
      <c r="N88">
        <v>38</v>
      </c>
      <c r="O88">
        <v>231</v>
      </c>
      <c r="P88">
        <v>231</v>
      </c>
      <c r="Q88">
        <v>38</v>
      </c>
      <c r="R88">
        <v>139</v>
      </c>
      <c r="S88">
        <v>38</v>
      </c>
      <c r="T88">
        <v>38</v>
      </c>
      <c r="U88">
        <v>139</v>
      </c>
      <c r="V88">
        <v>38</v>
      </c>
      <c r="W88">
        <v>139</v>
      </c>
      <c r="X88">
        <v>38</v>
      </c>
      <c r="Y88">
        <v>139</v>
      </c>
      <c r="Z88">
        <v>0</v>
      </c>
      <c r="AA88">
        <v>139</v>
      </c>
      <c r="AB88">
        <v>139</v>
      </c>
      <c r="AC88">
        <v>139</v>
      </c>
      <c r="AD88">
        <v>139</v>
      </c>
    </row>
    <row r="89" spans="1:31">
      <c r="A89" t="s">
        <v>976</v>
      </c>
      <c r="B89">
        <v>200</v>
      </c>
      <c r="C89">
        <v>200</v>
      </c>
      <c r="D89">
        <v>200</v>
      </c>
      <c r="E89">
        <v>200</v>
      </c>
      <c r="F89">
        <v>200</v>
      </c>
      <c r="G89">
        <v>300</v>
      </c>
      <c r="H89">
        <v>300</v>
      </c>
      <c r="I89">
        <v>300</v>
      </c>
      <c r="J89">
        <v>200</v>
      </c>
      <c r="K89" s="312">
        <v>200</v>
      </c>
      <c r="L89">
        <v>300</v>
      </c>
      <c r="M89">
        <v>200</v>
      </c>
      <c r="N89">
        <v>200</v>
      </c>
      <c r="O89">
        <v>200</v>
      </c>
      <c r="P89">
        <v>300</v>
      </c>
      <c r="Q89">
        <v>200</v>
      </c>
      <c r="R89">
        <v>200</v>
      </c>
      <c r="S89">
        <v>200</v>
      </c>
      <c r="T89">
        <v>200</v>
      </c>
      <c r="U89">
        <v>200</v>
      </c>
      <c r="V89">
        <v>200</v>
      </c>
      <c r="W89">
        <v>200</v>
      </c>
      <c r="X89">
        <v>200</v>
      </c>
      <c r="Y89">
        <v>200</v>
      </c>
      <c r="Z89">
        <v>200</v>
      </c>
      <c r="AA89">
        <v>200</v>
      </c>
      <c r="AB89">
        <v>200</v>
      </c>
      <c r="AC89">
        <v>300</v>
      </c>
      <c r="AD89">
        <v>200</v>
      </c>
    </row>
    <row r="90" spans="1:31">
      <c r="A90" t="s">
        <v>977</v>
      </c>
      <c r="C90">
        <v>270</v>
      </c>
      <c r="D90">
        <v>270</v>
      </c>
      <c r="E90">
        <v>270</v>
      </c>
      <c r="F90">
        <v>270</v>
      </c>
      <c r="G90">
        <v>270</v>
      </c>
      <c r="H90">
        <v>270</v>
      </c>
      <c r="I90">
        <v>270</v>
      </c>
      <c r="K90" s="312">
        <v>270</v>
      </c>
      <c r="M90">
        <v>270</v>
      </c>
      <c r="O90">
        <v>270</v>
      </c>
      <c r="P90">
        <v>270</v>
      </c>
      <c r="R90">
        <v>270</v>
      </c>
      <c r="U90">
        <v>270</v>
      </c>
      <c r="W90">
        <v>270</v>
      </c>
      <c r="AB90">
        <v>270</v>
      </c>
      <c r="AC90">
        <v>270</v>
      </c>
      <c r="AD90">
        <v>270</v>
      </c>
    </row>
    <row r="91" spans="1:31">
      <c r="A91" t="s">
        <v>990</v>
      </c>
      <c r="C91">
        <f>+C78</f>
        <v>85</v>
      </c>
      <c r="D91">
        <f t="shared" ref="D91:AD91" si="22">+D78</f>
        <v>65</v>
      </c>
      <c r="E91">
        <f t="shared" si="22"/>
        <v>65</v>
      </c>
      <c r="F91">
        <f t="shared" si="22"/>
        <v>65</v>
      </c>
      <c r="G91">
        <f t="shared" si="22"/>
        <v>85</v>
      </c>
      <c r="H91">
        <f t="shared" si="22"/>
        <v>85</v>
      </c>
      <c r="I91">
        <f t="shared" si="22"/>
        <v>65</v>
      </c>
      <c r="J91">
        <f t="shared" si="22"/>
        <v>0</v>
      </c>
      <c r="K91" s="312">
        <f t="shared" si="22"/>
        <v>65</v>
      </c>
      <c r="L91">
        <f t="shared" si="22"/>
        <v>0</v>
      </c>
      <c r="M91">
        <f t="shared" si="22"/>
        <v>85</v>
      </c>
      <c r="N91">
        <f t="shared" si="22"/>
        <v>0</v>
      </c>
      <c r="O91">
        <f t="shared" si="22"/>
        <v>85</v>
      </c>
      <c r="P91">
        <f t="shared" si="22"/>
        <v>85</v>
      </c>
      <c r="Q91">
        <f t="shared" si="22"/>
        <v>0</v>
      </c>
      <c r="R91">
        <f t="shared" si="22"/>
        <v>65</v>
      </c>
      <c r="S91">
        <f t="shared" si="22"/>
        <v>0</v>
      </c>
      <c r="T91">
        <f t="shared" si="22"/>
        <v>0</v>
      </c>
      <c r="U91">
        <f t="shared" si="22"/>
        <v>65</v>
      </c>
      <c r="V91">
        <f t="shared" si="22"/>
        <v>0</v>
      </c>
      <c r="W91">
        <f t="shared" si="22"/>
        <v>65</v>
      </c>
      <c r="X91">
        <f t="shared" si="22"/>
        <v>0</v>
      </c>
      <c r="Y91">
        <f t="shared" si="22"/>
        <v>0</v>
      </c>
      <c r="Z91">
        <f t="shared" si="22"/>
        <v>0</v>
      </c>
      <c r="AA91">
        <f t="shared" si="22"/>
        <v>0</v>
      </c>
      <c r="AB91">
        <f t="shared" si="22"/>
        <v>65</v>
      </c>
      <c r="AC91">
        <f t="shared" si="22"/>
        <v>65</v>
      </c>
      <c r="AD91">
        <f t="shared" si="22"/>
        <v>85</v>
      </c>
    </row>
    <row r="92" spans="1:31">
      <c r="A92" t="s">
        <v>978</v>
      </c>
    </row>
    <row r="93" spans="1:31">
      <c r="A93" t="s">
        <v>979</v>
      </c>
      <c r="C93">
        <v>200</v>
      </c>
      <c r="D93">
        <v>100</v>
      </c>
      <c r="E93">
        <v>100</v>
      </c>
      <c r="F93">
        <v>100</v>
      </c>
      <c r="G93">
        <v>200</v>
      </c>
      <c r="H93">
        <v>200</v>
      </c>
      <c r="I93">
        <v>100</v>
      </c>
      <c r="K93" s="312">
        <v>100</v>
      </c>
      <c r="M93">
        <v>200</v>
      </c>
      <c r="O93">
        <v>200</v>
      </c>
      <c r="P93">
        <v>200</v>
      </c>
      <c r="R93">
        <v>100</v>
      </c>
      <c r="U93">
        <v>100</v>
      </c>
      <c r="W93">
        <v>100</v>
      </c>
      <c r="AB93">
        <v>100</v>
      </c>
      <c r="AC93">
        <v>100</v>
      </c>
      <c r="AD93">
        <v>200</v>
      </c>
    </row>
    <row r="94" spans="1:31">
      <c r="A94" t="s">
        <v>980</v>
      </c>
      <c r="B94">
        <f>+W8</f>
        <v>660</v>
      </c>
      <c r="C94">
        <f>+W9</f>
        <v>3960</v>
      </c>
      <c r="D94">
        <f>+W10</f>
        <v>2343</v>
      </c>
      <c r="E94">
        <f>+W11</f>
        <v>2046</v>
      </c>
      <c r="F94">
        <f>+W12</f>
        <v>2343</v>
      </c>
      <c r="G94">
        <f>+W13</f>
        <v>4455</v>
      </c>
      <c r="H94">
        <f>+W14</f>
        <v>4521</v>
      </c>
      <c r="I94">
        <f>+W15</f>
        <v>2343</v>
      </c>
      <c r="J94">
        <f>+W16</f>
        <v>1617</v>
      </c>
      <c r="K94" s="312">
        <f>+W17</f>
        <v>3332.9999999999995</v>
      </c>
      <c r="L94">
        <f>+W18</f>
        <v>956.99999999999989</v>
      </c>
      <c r="M94">
        <f>+W19</f>
        <v>5214</v>
      </c>
      <c r="N94">
        <f>+W20</f>
        <v>1221</v>
      </c>
      <c r="O94">
        <f>+W21</f>
        <v>4125</v>
      </c>
      <c r="P94">
        <f>+W22</f>
        <v>3399</v>
      </c>
      <c r="Q94">
        <f>+W23</f>
        <v>1419</v>
      </c>
      <c r="R94">
        <f>+W24</f>
        <v>1980</v>
      </c>
      <c r="S94">
        <f>+W25</f>
        <v>1320</v>
      </c>
      <c r="T94">
        <f>+W26</f>
        <v>1155</v>
      </c>
      <c r="U94">
        <f>+W27</f>
        <v>2310</v>
      </c>
      <c r="V94">
        <f>+W28</f>
        <v>1583.9999999999998</v>
      </c>
      <c r="W94">
        <f>+W29</f>
        <v>2838</v>
      </c>
      <c r="X94">
        <f>+W30</f>
        <v>1386</v>
      </c>
      <c r="Y94">
        <f>+W31</f>
        <v>1847.9999999999998</v>
      </c>
      <c r="Z94">
        <f>+W32</f>
        <v>660</v>
      </c>
      <c r="AA94">
        <f>+W33</f>
        <v>1881</v>
      </c>
      <c r="AB94">
        <f>+W34</f>
        <v>1947</v>
      </c>
      <c r="AC94">
        <f>+W35</f>
        <v>2574</v>
      </c>
      <c r="AD94">
        <f>+W36</f>
        <v>3927</v>
      </c>
    </row>
    <row r="95" spans="1:31">
      <c r="B95">
        <f>SUM(B41:B94)</f>
        <v>18614.25</v>
      </c>
      <c r="C95">
        <f t="shared" ref="C95:AD95" si="23">SUM(C41:C94)</f>
        <v>48814</v>
      </c>
      <c r="D95">
        <f t="shared" si="23"/>
        <v>29742.3</v>
      </c>
      <c r="E95">
        <f t="shared" si="23"/>
        <v>29122.6</v>
      </c>
      <c r="F95">
        <f t="shared" si="23"/>
        <v>29044.3</v>
      </c>
      <c r="G95">
        <f t="shared" si="23"/>
        <v>53241.5</v>
      </c>
      <c r="H95">
        <f t="shared" si="23"/>
        <v>54852.1</v>
      </c>
      <c r="I95">
        <f t="shared" si="23"/>
        <v>28726.3</v>
      </c>
      <c r="J95">
        <f t="shared" si="23"/>
        <v>26764.7</v>
      </c>
      <c r="K95" s="312">
        <f t="shared" si="23"/>
        <v>42566.3</v>
      </c>
      <c r="L95">
        <f t="shared" si="23"/>
        <v>24345.7</v>
      </c>
      <c r="M95">
        <f t="shared" si="23"/>
        <v>55703.4</v>
      </c>
      <c r="N95">
        <f t="shared" si="23"/>
        <v>23029.1</v>
      </c>
      <c r="O95">
        <f t="shared" si="23"/>
        <v>50288.5</v>
      </c>
      <c r="P95">
        <f t="shared" si="23"/>
        <v>50278.9</v>
      </c>
      <c r="Q95">
        <f t="shared" si="23"/>
        <v>23826.9</v>
      </c>
      <c r="R95">
        <f t="shared" si="23"/>
        <v>26070</v>
      </c>
      <c r="S95">
        <f t="shared" si="23"/>
        <v>24483</v>
      </c>
      <c r="T95">
        <f t="shared" si="23"/>
        <v>22049.5</v>
      </c>
      <c r="U95">
        <f t="shared" si="23"/>
        <v>30453</v>
      </c>
      <c r="V95">
        <f t="shared" si="23"/>
        <v>25363.4</v>
      </c>
      <c r="W95">
        <f t="shared" si="23"/>
        <v>30532.799999999999</v>
      </c>
      <c r="X95">
        <f t="shared" si="23"/>
        <v>24365.599999999999</v>
      </c>
      <c r="Y95">
        <f t="shared" si="23"/>
        <v>25744.799999999999</v>
      </c>
      <c r="Z95">
        <f t="shared" si="23"/>
        <v>19504.25</v>
      </c>
      <c r="AA95">
        <f t="shared" si="23"/>
        <v>26176.1</v>
      </c>
      <c r="AB95">
        <f t="shared" si="23"/>
        <v>29787.7</v>
      </c>
      <c r="AC95">
        <f t="shared" si="23"/>
        <v>30153.4</v>
      </c>
      <c r="AD95">
        <f t="shared" si="23"/>
        <v>47086.85</v>
      </c>
    </row>
    <row r="96" spans="1:31" s="304" customFormat="1" ht="80.400000000000006">
      <c r="A96" s="300"/>
      <c r="B96" s="300" t="s">
        <v>152</v>
      </c>
      <c r="C96" s="301" t="s">
        <v>200</v>
      </c>
      <c r="D96" s="301" t="s">
        <v>201</v>
      </c>
      <c r="E96" s="301" t="s">
        <v>202</v>
      </c>
      <c r="F96" s="301" t="s">
        <v>203</v>
      </c>
      <c r="G96" s="301" t="s">
        <v>204</v>
      </c>
      <c r="H96" s="301" t="s">
        <v>205</v>
      </c>
      <c r="I96" s="302" t="s">
        <v>191</v>
      </c>
      <c r="J96" s="301" t="s">
        <v>206</v>
      </c>
      <c r="K96" s="315" t="s">
        <v>207</v>
      </c>
      <c r="L96" s="301" t="s">
        <v>208</v>
      </c>
      <c r="M96" s="301" t="s">
        <v>209</v>
      </c>
      <c r="N96" s="301" t="s">
        <v>211</v>
      </c>
      <c r="O96" s="301" t="s">
        <v>212</v>
      </c>
      <c r="P96" s="301" t="s">
        <v>687</v>
      </c>
      <c r="Q96" s="301" t="s">
        <v>213</v>
      </c>
      <c r="R96" s="301" t="s">
        <v>214</v>
      </c>
      <c r="S96" s="301" t="s">
        <v>215</v>
      </c>
      <c r="T96" s="301" t="s">
        <v>216</v>
      </c>
      <c r="U96" s="301" t="s">
        <v>217</v>
      </c>
      <c r="V96" s="300" t="s">
        <v>218</v>
      </c>
      <c r="W96" s="301" t="s">
        <v>219</v>
      </c>
      <c r="X96" s="301" t="s">
        <v>221</v>
      </c>
      <c r="Y96" s="301" t="s">
        <v>220</v>
      </c>
      <c r="Z96" s="301" t="s">
        <v>222</v>
      </c>
      <c r="AA96" s="301" t="s">
        <v>223</v>
      </c>
      <c r="AB96" s="301" t="s">
        <v>224</v>
      </c>
      <c r="AC96" s="302" t="s">
        <v>225</v>
      </c>
      <c r="AD96" s="301" t="s">
        <v>226</v>
      </c>
      <c r="AE96" s="303" t="s">
        <v>906</v>
      </c>
    </row>
    <row r="99" spans="1:4">
      <c r="A99" t="s">
        <v>981</v>
      </c>
    </row>
    <row r="100" spans="1:4">
      <c r="A100" t="s">
        <v>982</v>
      </c>
      <c r="B100">
        <v>1500</v>
      </c>
    </row>
    <row r="101" spans="1:4">
      <c r="A101" t="s">
        <v>983</v>
      </c>
      <c r="B101">
        <v>3200</v>
      </c>
    </row>
    <row r="102" spans="1:4">
      <c r="A102" t="s">
        <v>984</v>
      </c>
      <c r="B102">
        <v>350</v>
      </c>
    </row>
    <row r="103" spans="1:4">
      <c r="A103" t="s">
        <v>985</v>
      </c>
      <c r="B103">
        <v>20</v>
      </c>
    </row>
    <row r="104" spans="1:4">
      <c r="A104" t="s">
        <v>986</v>
      </c>
      <c r="B104">
        <v>240</v>
      </c>
    </row>
    <row r="105" spans="1:4">
      <c r="A105" t="s">
        <v>506</v>
      </c>
      <c r="B105">
        <v>500</v>
      </c>
    </row>
    <row r="106" spans="1:4">
      <c r="A106" t="s">
        <v>987</v>
      </c>
      <c r="B106">
        <v>190</v>
      </c>
    </row>
    <row r="107" spans="1:4">
      <c r="B107">
        <f>SUM(B100:B106)</f>
        <v>6000</v>
      </c>
    </row>
    <row r="108" spans="1:4">
      <c r="B108">
        <f>+B107*1.33</f>
        <v>7980</v>
      </c>
      <c r="D108" s="18">
        <f>8200</f>
        <v>8200</v>
      </c>
    </row>
  </sheetData>
  <sheetProtection algorithmName="SHA-512" hashValue="Tbd31wxzjbiVf4f8YY4udgRMl6qAF+EwCjgSGvqWz5u/ndKS+IPuqoZgcWi8PKC1BV0e5+1WZQgNfSZADjyKCA==" saltValue="7Ekm8TLfjJGD8Y59HSadPw==" spinCount="100000" sheet="1" objects="1" scenarios="1"/>
  <phoneticPr fontId="46" type="noConversion"/>
  <pageMargins left="0.7" right="0.7" top="0.75" bottom="0.75" header="0.3" footer="0.3"/>
  <pageSetup paperSize="9" orientation="portrait" horizontalDpi="12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6FCE-9F8B-412D-9C7C-E5BC4901B8BF}">
  <sheetPr codeName="Sheet22" filterMode="1"/>
  <dimension ref="A2:N167"/>
  <sheetViews>
    <sheetView workbookViewId="0">
      <selection activeCell="BK30" sqref="BK30"/>
    </sheetView>
  </sheetViews>
  <sheetFormatPr defaultRowHeight="14.4"/>
  <cols>
    <col min="1" max="1" width="41.5546875" bestFit="1" customWidth="1"/>
    <col min="2" max="2" width="30.88671875" bestFit="1" customWidth="1"/>
    <col min="3" max="3" width="9.5546875" customWidth="1"/>
    <col min="4" max="5" width="7.6640625" customWidth="1"/>
    <col min="6" max="6" width="3.44140625" customWidth="1"/>
    <col min="7" max="7" width="10" bestFit="1" customWidth="1"/>
  </cols>
  <sheetData>
    <row r="2" spans="2:14" s="13" customFormat="1" ht="31.2">
      <c r="B2" s="12" t="s">
        <v>107</v>
      </c>
      <c r="C2" s="13" t="s">
        <v>108</v>
      </c>
      <c r="D2" s="13" t="s">
        <v>109</v>
      </c>
      <c r="E2" s="13" t="s">
        <v>3</v>
      </c>
      <c r="H2" s="14" t="s">
        <v>761</v>
      </c>
      <c r="I2" s="14"/>
      <c r="J2" s="14"/>
      <c r="K2" s="14"/>
      <c r="L2" s="14"/>
      <c r="N2" s="246" t="s">
        <v>762</v>
      </c>
    </row>
    <row r="3" spans="2:14">
      <c r="B3" t="str">
        <f>+'Fast Key'!A13</f>
        <v>Byron 19</v>
      </c>
      <c r="C3" s="15">
        <f>+'Fast Key'!BO13</f>
        <v>0</v>
      </c>
      <c r="D3" s="14" t="e">
        <f>+Shepparton!#REF!</f>
        <v>#REF!</v>
      </c>
      <c r="E3" s="14" t="e">
        <f>+Shepparton!#REF!</f>
        <v>#REF!</v>
      </c>
    </row>
    <row r="4" spans="2:14" hidden="1">
      <c r="B4" t="str">
        <f>+'Fast Key'!A14</f>
        <v>Byron 22A</v>
      </c>
      <c r="C4" s="15">
        <f>+'Fast Key'!BO14</f>
        <v>0</v>
      </c>
      <c r="D4" s="14" t="e">
        <f>+Shepparton!#REF!</f>
        <v>#REF!</v>
      </c>
      <c r="E4" s="14" t="e">
        <f>+Shepparton!#REF!</f>
        <v>#REF!</v>
      </c>
    </row>
    <row r="5" spans="2:14" hidden="1">
      <c r="B5" t="str">
        <f>+'Fast Key'!A15</f>
        <v>Byron 22B</v>
      </c>
      <c r="C5" s="15">
        <f>+'Fast Key'!BO15</f>
        <v>0</v>
      </c>
      <c r="D5" s="14" t="e">
        <f>+Shepparton!#REF!</f>
        <v>#REF!</v>
      </c>
      <c r="E5" s="14" t="e">
        <f>+Shepparton!#REF!</f>
        <v>#REF!</v>
      </c>
    </row>
    <row r="6" spans="2:14" hidden="1">
      <c r="B6" t="str">
        <f>+'Fast Key'!A16</f>
        <v>Ashwood 17</v>
      </c>
      <c r="C6" s="15">
        <f>+'Fast Key'!BO16</f>
        <v>0</v>
      </c>
      <c r="D6" s="14" t="e">
        <f>+Shepparton!#REF!</f>
        <v>#REF!</v>
      </c>
      <c r="E6" s="14" t="e">
        <f>+Shepparton!#REF!</f>
        <v>#REF!</v>
      </c>
    </row>
    <row r="7" spans="2:14" hidden="1">
      <c r="B7" t="str">
        <f>+'Fast Key'!A17</f>
        <v>Ashwood 20</v>
      </c>
      <c r="C7" s="15">
        <f>+'Fast Key'!BO17</f>
        <v>0</v>
      </c>
      <c r="D7" s="14" t="e">
        <f>+Shepparton!#REF!</f>
        <v>#REF!</v>
      </c>
      <c r="E7" s="14" t="e">
        <f>+Shepparton!#REF!</f>
        <v>#REF!</v>
      </c>
    </row>
    <row r="8" spans="2:14" hidden="1">
      <c r="B8" t="str">
        <f>+'Fast Key'!A18</f>
        <v>Malvern 20</v>
      </c>
      <c r="C8" s="15">
        <f>+'Fast Key'!BO18</f>
        <v>0</v>
      </c>
      <c r="D8" s="14" t="e">
        <f>+Shepparton!#REF!</f>
        <v>#REF!</v>
      </c>
      <c r="E8" s="14" t="e">
        <f>+Shepparton!#REF!</f>
        <v>#REF!</v>
      </c>
    </row>
    <row r="9" spans="2:14" hidden="1">
      <c r="B9" t="str">
        <f>+'Fast Key'!A19</f>
        <v>Malvern 23</v>
      </c>
      <c r="C9" s="15">
        <f>+'Fast Key'!BO19</f>
        <v>0</v>
      </c>
      <c r="D9" s="14" t="e">
        <f>+Shepparton!#REF!</f>
        <v>#REF!</v>
      </c>
      <c r="E9" s="14" t="e">
        <f>+Shepparton!#REF!</f>
        <v>#REF!</v>
      </c>
    </row>
    <row r="10" spans="2:14" hidden="1">
      <c r="B10">
        <f>+'Fast Key'!A21</f>
        <v>0</v>
      </c>
      <c r="C10" s="15">
        <f>+'Fast Key'!BO21</f>
        <v>0</v>
      </c>
      <c r="D10" s="14" t="e">
        <f>+Shepparton!#REF!</f>
        <v>#REF!</v>
      </c>
      <c r="E10" s="14" t="e">
        <f>+Shepparton!#REF!</f>
        <v>#REF!</v>
      </c>
    </row>
    <row r="11" spans="2:14" hidden="1">
      <c r="B11">
        <f>+'Fast Key'!A22</f>
        <v>0</v>
      </c>
      <c r="C11" s="15">
        <f>+'Fast Key'!BO22</f>
        <v>0</v>
      </c>
      <c r="D11" s="14" t="e">
        <f>+Shepparton!#REF!</f>
        <v>#REF!</v>
      </c>
      <c r="E11" s="14" t="e">
        <f>+Shepparton!#REF!</f>
        <v>#REF!</v>
      </c>
    </row>
    <row r="12" spans="2:14" hidden="1">
      <c r="B12">
        <f>+'Fast Key'!A24</f>
        <v>0</v>
      </c>
      <c r="C12" s="15">
        <f>+'Fast Key'!BO24</f>
        <v>0</v>
      </c>
      <c r="D12" s="14" t="e">
        <f>+Shepparton!#REF!</f>
        <v>#REF!</v>
      </c>
      <c r="E12" s="14" t="e">
        <f>+Shepparton!#REF!</f>
        <v>#REF!</v>
      </c>
    </row>
    <row r="13" spans="2:14" hidden="1">
      <c r="B13">
        <f>+'Fast Key'!A26</f>
        <v>0</v>
      </c>
      <c r="C13" s="15">
        <f>+'Fast Key'!BO26</f>
        <v>0</v>
      </c>
      <c r="D13" s="14" t="e">
        <f>+Shepparton!#REF!</f>
        <v>#REF!</v>
      </c>
      <c r="E13" s="14" t="e">
        <f>+Shepparton!#REF!</f>
        <v>#REF!</v>
      </c>
    </row>
    <row r="14" spans="2:14" hidden="1">
      <c r="B14">
        <f>+'Fast Key'!A27</f>
        <v>0</v>
      </c>
      <c r="C14" s="15">
        <f>+'Fast Key'!BO27</f>
        <v>0</v>
      </c>
      <c r="D14" s="14" t="e">
        <f>+Shepparton!#REF!</f>
        <v>#REF!</v>
      </c>
      <c r="E14" s="14" t="e">
        <f>+Shepparton!#REF!</f>
        <v>#REF!</v>
      </c>
    </row>
    <row r="15" spans="2:14" hidden="1">
      <c r="B15">
        <f>+'Fast Key'!A28</f>
        <v>0</v>
      </c>
      <c r="C15" s="15">
        <f>+'Fast Key'!BO28</f>
        <v>0</v>
      </c>
      <c r="D15" s="14" t="e">
        <f>+Shepparton!#REF!</f>
        <v>#REF!</v>
      </c>
      <c r="E15" s="14" t="e">
        <f>+Shepparton!#REF!</f>
        <v>#REF!</v>
      </c>
    </row>
    <row r="16" spans="2:14" hidden="1">
      <c r="B16">
        <f>+'Fast Key'!A29</f>
        <v>0</v>
      </c>
      <c r="C16" s="15">
        <f>+'Fast Key'!BO29</f>
        <v>0</v>
      </c>
      <c r="D16" s="14" t="e">
        <f>+Shepparton!#REF!</f>
        <v>#REF!</v>
      </c>
      <c r="E16" s="14" t="e">
        <f>+Shepparton!#REF!</f>
        <v>#REF!</v>
      </c>
    </row>
    <row r="17" spans="2:5" hidden="1">
      <c r="B17">
        <f>+'Fast Key'!A30</f>
        <v>0</v>
      </c>
      <c r="C17" s="15">
        <f>+'Fast Key'!BO30</f>
        <v>0</v>
      </c>
      <c r="D17" s="14" t="e">
        <f>+Shepparton!#REF!</f>
        <v>#REF!</v>
      </c>
      <c r="E17" s="14" t="e">
        <f>+Shepparton!#REF!</f>
        <v>#REF!</v>
      </c>
    </row>
    <row r="18" spans="2:5" hidden="1">
      <c r="B18">
        <f>+'Fast Key'!A31</f>
        <v>0</v>
      </c>
      <c r="C18" s="15">
        <f>+'Fast Key'!BO31</f>
        <v>0</v>
      </c>
      <c r="D18" s="14" t="e">
        <f>+Shepparton!#REF!</f>
        <v>#REF!</v>
      </c>
      <c r="E18" s="14" t="e">
        <f>+Shepparton!#REF!</f>
        <v>#REF!</v>
      </c>
    </row>
    <row r="19" spans="2:5" hidden="1">
      <c r="B19">
        <f>+'Fast Key'!A34</f>
        <v>0</v>
      </c>
      <c r="C19" s="15">
        <f>+'Fast Key'!BO34</f>
        <v>0</v>
      </c>
      <c r="D19" s="14" t="e">
        <f>+Shepparton!#REF!</f>
        <v>#REF!</v>
      </c>
      <c r="E19" s="14" t="e">
        <f>+Shepparton!#REF!</f>
        <v>#REF!</v>
      </c>
    </row>
    <row r="20" spans="2:5" hidden="1">
      <c r="B20">
        <f>+'Fast Key'!A41</f>
        <v>0</v>
      </c>
      <c r="C20" s="15">
        <f>+'Fast Key'!BO41</f>
        <v>0</v>
      </c>
      <c r="D20" s="14" t="e">
        <f>+Shepparton!#REF!</f>
        <v>#REF!</v>
      </c>
      <c r="E20" s="14" t="e">
        <f>+Shepparton!#REF!</f>
        <v>#REF!</v>
      </c>
    </row>
    <row r="21" spans="2:5" hidden="1">
      <c r="B21">
        <f>+'Fast Key'!A42</f>
        <v>0</v>
      </c>
      <c r="C21" s="15">
        <f>+'Fast Key'!BO42</f>
        <v>0</v>
      </c>
      <c r="D21" s="14" t="e">
        <f>+Shepparton!#REF!</f>
        <v>#REF!</v>
      </c>
      <c r="E21" s="14" t="e">
        <f>+Shepparton!#REF!</f>
        <v>#REF!</v>
      </c>
    </row>
    <row r="22" spans="2:5" hidden="1">
      <c r="B22">
        <f>+'Fast Key'!A43</f>
        <v>0</v>
      </c>
      <c r="C22" s="15">
        <f>+'Fast Key'!BO43</f>
        <v>0</v>
      </c>
      <c r="D22" s="14" t="e">
        <f>+Shepparton!#REF!</f>
        <v>#REF!</v>
      </c>
      <c r="E22" s="14" t="e">
        <f>+Shepparton!#REF!</f>
        <v>#REF!</v>
      </c>
    </row>
    <row r="23" spans="2:5" hidden="1">
      <c r="B23">
        <f>+'Fast Key'!A44</f>
        <v>0</v>
      </c>
      <c r="C23" s="15">
        <f>+'Fast Key'!BO44</f>
        <v>0</v>
      </c>
      <c r="D23" s="14" t="e">
        <f>+Shepparton!#REF!</f>
        <v>#REF!</v>
      </c>
      <c r="E23" s="14" t="e">
        <f>+Shepparton!#REF!</f>
        <v>#REF!</v>
      </c>
    </row>
    <row r="24" spans="2:5" hidden="1">
      <c r="B24">
        <f>+'Fast Key'!A45</f>
        <v>0</v>
      </c>
      <c r="C24" s="15">
        <f>+'Fast Key'!BO45</f>
        <v>0</v>
      </c>
      <c r="D24" s="14" t="e">
        <f>+Shepparton!#REF!</f>
        <v>#REF!</v>
      </c>
      <c r="E24" s="14" t="e">
        <f>+Shepparton!#REF!</f>
        <v>#REF!</v>
      </c>
    </row>
    <row r="25" spans="2:5" hidden="1">
      <c r="B25">
        <f>+'Fast Key'!A46</f>
        <v>0</v>
      </c>
      <c r="C25" s="15">
        <f>+'Fast Key'!BO46</f>
        <v>0</v>
      </c>
      <c r="D25" s="14" t="e">
        <f>+Shepparton!#REF!</f>
        <v>#REF!</v>
      </c>
      <c r="E25" s="14" t="e">
        <f>+Shepparton!#REF!</f>
        <v>#REF!</v>
      </c>
    </row>
    <row r="26" spans="2:5" hidden="1">
      <c r="B26">
        <f>+'Fast Key'!A47</f>
        <v>0</v>
      </c>
      <c r="C26" s="15">
        <f>+'Fast Key'!BO47</f>
        <v>0</v>
      </c>
      <c r="D26" s="14" t="e">
        <f>+Shepparton!#REF!</f>
        <v>#REF!</v>
      </c>
      <c r="E26" s="14" t="e">
        <f>+Shepparton!#REF!</f>
        <v>#REF!</v>
      </c>
    </row>
    <row r="27" spans="2:5" hidden="1">
      <c r="B27">
        <f>+'Fast Key'!A48</f>
        <v>0</v>
      </c>
      <c r="C27" s="15">
        <f>+'Fast Key'!BO48</f>
        <v>0</v>
      </c>
      <c r="D27" s="14" t="e">
        <f>+Shepparton!#REF!</f>
        <v>#REF!</v>
      </c>
      <c r="E27" s="14" t="e">
        <f>+Shepparton!#REF!</f>
        <v>#REF!</v>
      </c>
    </row>
    <row r="28" spans="2:5" hidden="1">
      <c r="B28">
        <f>+'Fast Key'!A49</f>
        <v>0</v>
      </c>
      <c r="C28" s="15">
        <f>+'Fast Key'!BO49</f>
        <v>0</v>
      </c>
      <c r="D28" s="14" t="e">
        <f>+Shepparton!#REF!</f>
        <v>#REF!</v>
      </c>
      <c r="E28" s="14" t="e">
        <f>+Shepparton!#REF!</f>
        <v>#REF!</v>
      </c>
    </row>
    <row r="29" spans="2:5" hidden="1">
      <c r="B29">
        <f>+'Fast Key'!A50</f>
        <v>0</v>
      </c>
      <c r="C29" s="15">
        <f>+'Fast Key'!BO50</f>
        <v>0</v>
      </c>
      <c r="D29" s="14" t="e">
        <f>+Shepparton!#REF!</f>
        <v>#REF!</v>
      </c>
      <c r="E29" s="14" t="e">
        <f>+Shepparton!#REF!</f>
        <v>#REF!</v>
      </c>
    </row>
    <row r="30" spans="2:5" hidden="1">
      <c r="B30">
        <f>+'Fast Key'!A51</f>
        <v>0</v>
      </c>
      <c r="C30" s="15">
        <f>+'Fast Key'!BO51</f>
        <v>0</v>
      </c>
      <c r="D30" s="14" t="e">
        <f>+Shepparton!#REF!</f>
        <v>#REF!</v>
      </c>
      <c r="E30" s="14" t="e">
        <f>+Shepparton!#REF!</f>
        <v>#REF!</v>
      </c>
    </row>
    <row r="31" spans="2:5" hidden="1">
      <c r="B31">
        <f>+'Fast Key'!A52</f>
        <v>0</v>
      </c>
      <c r="C31" s="15">
        <f>+'Fast Key'!BO52</f>
        <v>0</v>
      </c>
      <c r="D31" s="14" t="e">
        <f>+Shepparton!#REF!</f>
        <v>#REF!</v>
      </c>
      <c r="E31" s="14" t="e">
        <f>+Shepparton!#REF!</f>
        <v>#REF!</v>
      </c>
    </row>
    <row r="32" spans="2:5" hidden="1">
      <c r="B32">
        <f>+'Fast Key'!A53</f>
        <v>0</v>
      </c>
      <c r="C32" s="15">
        <f>+'Fast Key'!BO53</f>
        <v>0</v>
      </c>
      <c r="D32" s="14" t="e">
        <f>+Shepparton!#REF!</f>
        <v>#REF!</v>
      </c>
      <c r="E32" s="14" t="e">
        <f>+Shepparton!#REF!</f>
        <v>#REF!</v>
      </c>
    </row>
    <row r="33" spans="2:5" hidden="1">
      <c r="B33">
        <f>+'Fast Key'!A54</f>
        <v>0</v>
      </c>
      <c r="C33" s="15">
        <f>+'Fast Key'!BO54</f>
        <v>0</v>
      </c>
      <c r="D33" s="14" t="e">
        <f>+Shepparton!#REF!</f>
        <v>#REF!</v>
      </c>
      <c r="E33" s="14" t="e">
        <f>+Shepparton!#REF!</f>
        <v>#REF!</v>
      </c>
    </row>
    <row r="34" spans="2:5" hidden="1">
      <c r="B34">
        <f>+'Fast Key'!A55</f>
        <v>0</v>
      </c>
      <c r="C34" s="15">
        <f>+'Fast Key'!BO55</f>
        <v>0</v>
      </c>
      <c r="D34" s="14" t="e">
        <f>+Shepparton!#REF!</f>
        <v>#REF!</v>
      </c>
      <c r="E34" s="14" t="e">
        <f>+Shepparton!#REF!</f>
        <v>#REF!</v>
      </c>
    </row>
    <row r="35" spans="2:5" hidden="1">
      <c r="B35">
        <f>+'Fast Key'!A56</f>
        <v>0</v>
      </c>
      <c r="C35" s="15">
        <f>+'Fast Key'!BO56</f>
        <v>0</v>
      </c>
      <c r="D35" s="14" t="e">
        <f>+Shepparton!#REF!</f>
        <v>#REF!</v>
      </c>
      <c r="E35" s="14" t="e">
        <f>+Shepparton!#REF!</f>
        <v>#REF!</v>
      </c>
    </row>
    <row r="36" spans="2:5" hidden="1">
      <c r="B36">
        <f>+'Fast Key'!A57</f>
        <v>0</v>
      </c>
      <c r="C36" s="15">
        <f>+'Fast Key'!BO57</f>
        <v>0</v>
      </c>
      <c r="D36" s="14" t="e">
        <f>+Shepparton!#REF!</f>
        <v>#REF!</v>
      </c>
      <c r="E36" s="14" t="e">
        <f>+Shepparton!#REF!</f>
        <v>#REF!</v>
      </c>
    </row>
    <row r="37" spans="2:5" hidden="1">
      <c r="B37">
        <f>+'Fast Key'!A58</f>
        <v>0</v>
      </c>
      <c r="C37" s="15">
        <f>+'Fast Key'!BO58</f>
        <v>0</v>
      </c>
      <c r="D37" s="14" t="e">
        <f>+Shepparton!#REF!</f>
        <v>#REF!</v>
      </c>
      <c r="E37" s="14" t="e">
        <f>+Shepparton!#REF!</f>
        <v>#REF!</v>
      </c>
    </row>
    <row r="38" spans="2:5" hidden="1">
      <c r="B38">
        <f>+'Fast Key'!A59</f>
        <v>0</v>
      </c>
      <c r="C38" s="15">
        <f>+'Fast Key'!BO59</f>
        <v>0</v>
      </c>
      <c r="D38" s="14" t="e">
        <f>+Shepparton!#REF!</f>
        <v>#REF!</v>
      </c>
      <c r="E38" s="14" t="e">
        <f>+Shepparton!#REF!</f>
        <v>#REF!</v>
      </c>
    </row>
    <row r="39" spans="2:5" hidden="1">
      <c r="B39">
        <f>+'Fast Key'!A60</f>
        <v>0</v>
      </c>
      <c r="C39" s="15">
        <f>+'Fast Key'!BO60</f>
        <v>0</v>
      </c>
      <c r="D39" s="14" t="e">
        <f>+Shepparton!#REF!</f>
        <v>#REF!</v>
      </c>
      <c r="E39" s="14" t="e">
        <f>+Shepparton!#REF!</f>
        <v>#REF!</v>
      </c>
    </row>
    <row r="40" spans="2:5" hidden="1">
      <c r="B40">
        <f>+'Fast Key'!A61</f>
        <v>0</v>
      </c>
      <c r="C40" s="15">
        <f>+'Fast Key'!BO61</f>
        <v>0</v>
      </c>
      <c r="D40" s="14" t="e">
        <f>+Shepparton!#REF!</f>
        <v>#REF!</v>
      </c>
      <c r="E40" s="14" t="e">
        <f>+Shepparton!#REF!</f>
        <v>#REF!</v>
      </c>
    </row>
    <row r="41" spans="2:5" hidden="1">
      <c r="B41">
        <f>+'Fast Key'!A62</f>
        <v>0</v>
      </c>
      <c r="C41" s="15">
        <f>+'Fast Key'!BO62</f>
        <v>0</v>
      </c>
      <c r="D41" s="14" t="e">
        <f>+Shepparton!#REF!</f>
        <v>#REF!</v>
      </c>
      <c r="E41" s="14" t="e">
        <f>+Shepparton!#REF!</f>
        <v>#REF!</v>
      </c>
    </row>
    <row r="42" spans="2:5" hidden="1">
      <c r="B42">
        <f>+'Fast Key'!A63</f>
        <v>0</v>
      </c>
      <c r="C42" s="15">
        <f>+'Fast Key'!BO63</f>
        <v>0</v>
      </c>
      <c r="D42" s="14" t="e">
        <f>+Shepparton!#REF!</f>
        <v>#REF!</v>
      </c>
      <c r="E42" s="14" t="e">
        <f>+Shepparton!#REF!</f>
        <v>#REF!</v>
      </c>
    </row>
    <row r="43" spans="2:5" hidden="1">
      <c r="B43">
        <f>+'Fast Key'!A64</f>
        <v>0</v>
      </c>
      <c r="C43" s="15">
        <f>+'Fast Key'!BO64</f>
        <v>0</v>
      </c>
      <c r="D43" s="14" t="e">
        <f>+Shepparton!#REF!</f>
        <v>#REF!</v>
      </c>
      <c r="E43" s="14" t="e">
        <f>+Shepparton!#REF!</f>
        <v>#REF!</v>
      </c>
    </row>
    <row r="44" spans="2:5" hidden="1">
      <c r="B44">
        <f>+'Fast Key'!A70</f>
        <v>0</v>
      </c>
      <c r="C44" s="15">
        <f>+'Fast Key'!BO70</f>
        <v>0</v>
      </c>
      <c r="D44" s="14" t="e">
        <f>+Shepparton!#REF!</f>
        <v>#REF!</v>
      </c>
      <c r="E44" s="14" t="e">
        <f>+Shepparton!#REF!</f>
        <v>#REF!</v>
      </c>
    </row>
    <row r="45" spans="2:5" hidden="1">
      <c r="B45">
        <f>+'Fast Key'!A71</f>
        <v>0</v>
      </c>
      <c r="C45" s="15">
        <f>+'Fast Key'!BO71</f>
        <v>0</v>
      </c>
      <c r="D45" s="14" t="e">
        <f>+Shepparton!#REF!</f>
        <v>#REF!</v>
      </c>
      <c r="E45" s="14" t="e">
        <f>+Shepparton!#REF!</f>
        <v>#REF!</v>
      </c>
    </row>
    <row r="46" spans="2:5" hidden="1">
      <c r="B46">
        <f>+'Fast Key'!A72</f>
        <v>0</v>
      </c>
      <c r="C46" s="15">
        <f>+'Fast Key'!BO72</f>
        <v>0</v>
      </c>
      <c r="D46" s="14" t="e">
        <f>+Shepparton!#REF!</f>
        <v>#REF!</v>
      </c>
      <c r="E46" s="14" t="e">
        <f>+Shepparton!#REF!</f>
        <v>#REF!</v>
      </c>
    </row>
    <row r="47" spans="2:5" hidden="1">
      <c r="B47">
        <f>+'Fast Key'!A73</f>
        <v>0</v>
      </c>
      <c r="C47" s="15">
        <f>+'Fast Key'!BO73</f>
        <v>0</v>
      </c>
      <c r="D47" s="14" t="e">
        <f>+Shepparton!#REF!</f>
        <v>#REF!</v>
      </c>
      <c r="E47" s="14" t="e">
        <f>+Shepparton!#REF!</f>
        <v>#REF!</v>
      </c>
    </row>
    <row r="48" spans="2:5" hidden="1">
      <c r="B48">
        <f>+'Fast Key'!A74</f>
        <v>0</v>
      </c>
      <c r="C48" s="15">
        <f>+'Fast Key'!BO74</f>
        <v>0</v>
      </c>
      <c r="D48" s="14" t="e">
        <f>+Shepparton!#REF!</f>
        <v>#REF!</v>
      </c>
      <c r="E48" s="14" t="e">
        <f>+Shepparton!#REF!</f>
        <v>#REF!</v>
      </c>
    </row>
    <row r="49" spans="2:5" hidden="1">
      <c r="B49">
        <f>+'Fast Key'!A75</f>
        <v>0</v>
      </c>
      <c r="C49" s="15">
        <f>+'Fast Key'!BO75</f>
        <v>0</v>
      </c>
      <c r="D49" s="14" t="e">
        <f>+Shepparton!#REF!</f>
        <v>#REF!</v>
      </c>
      <c r="E49" s="14" t="e">
        <f>+Shepparton!#REF!</f>
        <v>#REF!</v>
      </c>
    </row>
    <row r="50" spans="2:5" hidden="1">
      <c r="B50">
        <f>+'Fast Key'!A76</f>
        <v>0</v>
      </c>
      <c r="C50" s="15">
        <f>+'Fast Key'!BO76</f>
        <v>0</v>
      </c>
      <c r="D50" s="14" t="e">
        <f>+Shepparton!#REF!</f>
        <v>#REF!</v>
      </c>
      <c r="E50" s="14" t="e">
        <f>+Shepparton!#REF!</f>
        <v>#REF!</v>
      </c>
    </row>
    <row r="51" spans="2:5" hidden="1">
      <c r="B51">
        <f>+'Fast Key'!A77</f>
        <v>0</v>
      </c>
      <c r="C51" s="15">
        <f>+'Fast Key'!BO77</f>
        <v>0</v>
      </c>
      <c r="D51" s="14" t="e">
        <f>+Shepparton!#REF!</f>
        <v>#REF!</v>
      </c>
      <c r="E51" s="14" t="e">
        <f>+Shepparton!#REF!</f>
        <v>#REF!</v>
      </c>
    </row>
    <row r="52" spans="2:5" hidden="1">
      <c r="B52">
        <f>+'Fast Key'!A78</f>
        <v>0</v>
      </c>
      <c r="C52" s="15">
        <f>+'Fast Key'!BO78</f>
        <v>0</v>
      </c>
      <c r="D52" s="14" t="e">
        <f>+Shepparton!#REF!</f>
        <v>#REF!</v>
      </c>
      <c r="E52" s="14" t="e">
        <f>+Shepparton!#REF!</f>
        <v>#REF!</v>
      </c>
    </row>
    <row r="53" spans="2:5" hidden="1">
      <c r="B53">
        <f>+'Fast Key'!A79</f>
        <v>0</v>
      </c>
      <c r="C53" s="15">
        <f>+'Fast Key'!BO79</f>
        <v>0</v>
      </c>
      <c r="D53" s="14" t="e">
        <f>+Shepparton!#REF!</f>
        <v>#REF!</v>
      </c>
      <c r="E53" s="14" t="e">
        <f>+Shepparton!#REF!</f>
        <v>#REF!</v>
      </c>
    </row>
    <row r="54" spans="2:5" hidden="1">
      <c r="B54">
        <f>+'Fast Key'!A80</f>
        <v>0</v>
      </c>
      <c r="C54" s="15">
        <f>+'Fast Key'!BO80</f>
        <v>0</v>
      </c>
      <c r="D54" s="14" t="e">
        <f>+Shepparton!#REF!</f>
        <v>#REF!</v>
      </c>
      <c r="E54" s="14" t="e">
        <f>+Shepparton!#REF!</f>
        <v>#REF!</v>
      </c>
    </row>
    <row r="55" spans="2:5" hidden="1">
      <c r="B55">
        <f>+'Fast Key'!A81</f>
        <v>0</v>
      </c>
      <c r="C55" s="15">
        <f>+'Fast Key'!BO81</f>
        <v>0</v>
      </c>
      <c r="D55" s="14" t="e">
        <f>+Shepparton!#REF!</f>
        <v>#REF!</v>
      </c>
      <c r="E55" s="14" t="e">
        <f>+Shepparton!#REF!</f>
        <v>#REF!</v>
      </c>
    </row>
    <row r="56" spans="2:5" hidden="1">
      <c r="B56">
        <f>+'Fast Key'!A82</f>
        <v>0</v>
      </c>
      <c r="C56" s="15">
        <f>+'Fast Key'!BO82</f>
        <v>0</v>
      </c>
      <c r="D56" s="14" t="e">
        <f>+Shepparton!#REF!</f>
        <v>#REF!</v>
      </c>
      <c r="E56" s="14" t="e">
        <f>+Shepparton!#REF!</f>
        <v>#REF!</v>
      </c>
    </row>
    <row r="57" spans="2:5" hidden="1">
      <c r="B57">
        <f>+'Fast Key'!A83</f>
        <v>0</v>
      </c>
      <c r="C57" s="15">
        <f>+'Fast Key'!BO83</f>
        <v>0</v>
      </c>
      <c r="D57" s="14" t="e">
        <f>+Shepparton!#REF!</f>
        <v>#REF!</v>
      </c>
      <c r="E57" s="14" t="e">
        <f>+Shepparton!#REF!</f>
        <v>#REF!</v>
      </c>
    </row>
    <row r="58" spans="2:5" hidden="1">
      <c r="B58">
        <f>+'Fast Key'!A84</f>
        <v>0</v>
      </c>
      <c r="C58" s="15">
        <f>+'Fast Key'!BO84</f>
        <v>0</v>
      </c>
      <c r="D58" s="14" t="e">
        <f>+Shepparton!#REF!</f>
        <v>#REF!</v>
      </c>
      <c r="E58" s="14" t="e">
        <f>+Shepparton!#REF!</f>
        <v>#REF!</v>
      </c>
    </row>
    <row r="59" spans="2:5" hidden="1">
      <c r="B59">
        <f>+'Fast Key'!A85</f>
        <v>0</v>
      </c>
      <c r="C59" s="15">
        <f>+'Fast Key'!BO85</f>
        <v>0</v>
      </c>
      <c r="D59" s="14" t="e">
        <f>+Shepparton!#REF!</f>
        <v>#REF!</v>
      </c>
      <c r="E59" s="14" t="e">
        <f>+Shepparton!#REF!</f>
        <v>#REF!</v>
      </c>
    </row>
    <row r="60" spans="2:5" hidden="1">
      <c r="B60">
        <f>+'Fast Key'!A86</f>
        <v>0</v>
      </c>
      <c r="C60" s="15">
        <f>+'Fast Key'!BO86</f>
        <v>0</v>
      </c>
      <c r="D60" s="14" t="e">
        <f>+Shepparton!#REF!</f>
        <v>#REF!</v>
      </c>
      <c r="E60" s="14" t="e">
        <f>+Shepparton!#REF!</f>
        <v>#REF!</v>
      </c>
    </row>
    <row r="61" spans="2:5" hidden="1">
      <c r="B61">
        <f>+'Fast Key'!A87</f>
        <v>0</v>
      </c>
      <c r="C61" s="15">
        <f>+'Fast Key'!BO87</f>
        <v>0</v>
      </c>
      <c r="D61" s="14" t="e">
        <f>+Shepparton!#REF!</f>
        <v>#REF!</v>
      </c>
      <c r="E61" s="14" t="e">
        <f>+Shepparton!#REF!</f>
        <v>#REF!</v>
      </c>
    </row>
    <row r="62" spans="2:5" hidden="1">
      <c r="B62">
        <f>+'Fast Key'!A88</f>
        <v>0</v>
      </c>
      <c r="C62" s="15">
        <f>+'Fast Key'!BO88</f>
        <v>0</v>
      </c>
      <c r="D62" s="14" t="e">
        <f>+Shepparton!#REF!</f>
        <v>#REF!</v>
      </c>
      <c r="E62" s="14" t="e">
        <f>+Shepparton!#REF!</f>
        <v>#REF!</v>
      </c>
    </row>
    <row r="63" spans="2:5" hidden="1">
      <c r="B63">
        <f>+'Fast Key'!A93</f>
        <v>0</v>
      </c>
      <c r="C63" s="15">
        <f>+'Fast Key'!BO93</f>
        <v>0</v>
      </c>
      <c r="D63" s="14" t="e">
        <f>+Shepparton!#REF!</f>
        <v>#REF!</v>
      </c>
      <c r="E63" s="14" t="e">
        <f>+Shepparton!#REF!</f>
        <v>#REF!</v>
      </c>
    </row>
    <row r="64" spans="2:5" hidden="1">
      <c r="B64">
        <f>+'Fast Key'!A94</f>
        <v>0</v>
      </c>
      <c r="C64" s="15">
        <f>+'Fast Key'!BO94</f>
        <v>0</v>
      </c>
      <c r="D64" s="14" t="e">
        <f>+Shepparton!#REF!</f>
        <v>#REF!</v>
      </c>
      <c r="E64" s="14" t="e">
        <f>+Shepparton!#REF!</f>
        <v>#REF!</v>
      </c>
    </row>
    <row r="65" spans="2:5" hidden="1">
      <c r="B65">
        <f>+'Fast Key'!A95</f>
        <v>0</v>
      </c>
      <c r="C65" s="15">
        <f>+'Fast Key'!BO95</f>
        <v>0</v>
      </c>
      <c r="D65" s="14" t="e">
        <f>+Shepparton!#REF!</f>
        <v>#REF!</v>
      </c>
      <c r="E65" s="14" t="e">
        <f>+Shepparton!#REF!</f>
        <v>#REF!</v>
      </c>
    </row>
    <row r="66" spans="2:5" hidden="1">
      <c r="B66">
        <f>+'Fast Key'!A96</f>
        <v>0</v>
      </c>
      <c r="C66" s="15">
        <f>+'Fast Key'!BO96</f>
        <v>0</v>
      </c>
      <c r="D66" s="14" t="e">
        <f>+Shepparton!#REF!</f>
        <v>#REF!</v>
      </c>
      <c r="E66" s="14" t="e">
        <f>+Shepparton!#REF!</f>
        <v>#REF!</v>
      </c>
    </row>
    <row r="67" spans="2:5" hidden="1">
      <c r="B67">
        <f>+'Fast Key'!A97</f>
        <v>0</v>
      </c>
      <c r="C67" s="15">
        <f>+'Fast Key'!BO97</f>
        <v>0</v>
      </c>
      <c r="D67" s="14" t="e">
        <f>+Shepparton!#REF!</f>
        <v>#REF!</v>
      </c>
      <c r="E67" s="14" t="e">
        <f>+Shepparton!#REF!</f>
        <v>#REF!</v>
      </c>
    </row>
    <row r="68" spans="2:5" hidden="1">
      <c r="B68">
        <f>+'Fast Key'!A99</f>
        <v>0</v>
      </c>
      <c r="C68" s="15">
        <f>+'Fast Key'!BO99</f>
        <v>0</v>
      </c>
      <c r="D68" s="14" t="e">
        <f>+Shepparton!#REF!</f>
        <v>#REF!</v>
      </c>
      <c r="E68" s="14" t="e">
        <f>+Shepparton!#REF!</f>
        <v>#REF!</v>
      </c>
    </row>
    <row r="69" spans="2:5" hidden="1">
      <c r="B69">
        <f>+'Fast Key'!A101</f>
        <v>0</v>
      </c>
      <c r="C69" s="15">
        <f>+'Fast Key'!BO101</f>
        <v>0</v>
      </c>
      <c r="D69" s="14" t="e">
        <f>+Shepparton!#REF!</f>
        <v>#REF!</v>
      </c>
      <c r="E69" s="14" t="e">
        <f>+Shepparton!#REF!</f>
        <v>#REF!</v>
      </c>
    </row>
    <row r="70" spans="2:5" hidden="1">
      <c r="B70">
        <f>+'Fast Key'!A102</f>
        <v>0</v>
      </c>
      <c r="C70" s="15">
        <f>+'Fast Key'!BO102</f>
        <v>0</v>
      </c>
      <c r="D70" s="14" t="e">
        <f>+Shepparton!#REF!</f>
        <v>#REF!</v>
      </c>
      <c r="E70" s="14" t="e">
        <f>+Shepparton!#REF!</f>
        <v>#REF!</v>
      </c>
    </row>
    <row r="71" spans="2:5" hidden="1">
      <c r="B71">
        <f>+'Fast Key'!A103</f>
        <v>0</v>
      </c>
      <c r="C71" s="15">
        <f>+'Fast Key'!BO103</f>
        <v>0</v>
      </c>
      <c r="D71" s="14" t="e">
        <f>+Shepparton!#REF!</f>
        <v>#REF!</v>
      </c>
      <c r="E71" s="14" t="e">
        <f>+Shepparton!#REF!</f>
        <v>#REF!</v>
      </c>
    </row>
    <row r="72" spans="2:5" hidden="1">
      <c r="B72">
        <f>+'Fast Key'!A104</f>
        <v>0</v>
      </c>
      <c r="C72" s="15">
        <f>+'Fast Key'!BO104</f>
        <v>0</v>
      </c>
      <c r="D72" s="14" t="e">
        <f>+Shepparton!#REF!</f>
        <v>#REF!</v>
      </c>
      <c r="E72" s="14" t="e">
        <f>+Shepparton!#REF!</f>
        <v>#REF!</v>
      </c>
    </row>
    <row r="73" spans="2:5" hidden="1">
      <c r="B73">
        <f>+'Fast Key'!A105</f>
        <v>0</v>
      </c>
      <c r="C73" s="15">
        <f>+'Fast Key'!BO105</f>
        <v>0</v>
      </c>
      <c r="D73" s="14" t="e">
        <f>+Shepparton!#REF!</f>
        <v>#REF!</v>
      </c>
      <c r="E73" s="14" t="e">
        <f>+Shepparton!#REF!</f>
        <v>#REF!</v>
      </c>
    </row>
    <row r="74" spans="2:5" hidden="1">
      <c r="B74">
        <f>+'Fast Key'!A106</f>
        <v>0</v>
      </c>
      <c r="C74" s="15">
        <f>+'Fast Key'!BO106</f>
        <v>0</v>
      </c>
      <c r="D74" s="14" t="e">
        <f>+Shepparton!#REF!</f>
        <v>#REF!</v>
      </c>
      <c r="E74" s="14" t="e">
        <f>+Shepparton!#REF!</f>
        <v>#REF!</v>
      </c>
    </row>
    <row r="75" spans="2:5" hidden="1">
      <c r="B75">
        <f>+'Fast Key'!A110</f>
        <v>0</v>
      </c>
      <c r="C75" s="15">
        <f>+'Fast Key'!BO110</f>
        <v>0</v>
      </c>
      <c r="D75" s="14" t="e">
        <f>+Shepparton!#REF!</f>
        <v>#REF!</v>
      </c>
      <c r="E75" s="14" t="e">
        <f>+Shepparton!#REF!</f>
        <v>#REF!</v>
      </c>
    </row>
    <row r="76" spans="2:5" hidden="1">
      <c r="B76">
        <f>+'Fast Key'!A111</f>
        <v>0</v>
      </c>
      <c r="C76" s="15">
        <f>+'Fast Key'!BO111</f>
        <v>0</v>
      </c>
      <c r="D76" s="14" t="e">
        <f>+Shepparton!#REF!</f>
        <v>#REF!</v>
      </c>
      <c r="E76" s="14" t="e">
        <f>+Shepparton!#REF!</f>
        <v>#REF!</v>
      </c>
    </row>
    <row r="77" spans="2:5" hidden="1">
      <c r="B77">
        <f>+'Fast Key'!A112</f>
        <v>0</v>
      </c>
      <c r="C77" s="15">
        <f>+'Fast Key'!BO112</f>
        <v>0</v>
      </c>
      <c r="D77" s="14" t="e">
        <f>+Shepparton!#REF!</f>
        <v>#REF!</v>
      </c>
      <c r="E77" s="14" t="e">
        <f>+Shepparton!#REF!</f>
        <v>#REF!</v>
      </c>
    </row>
    <row r="78" spans="2:5" hidden="1">
      <c r="B78">
        <f>+'Fast Key'!A115</f>
        <v>0</v>
      </c>
      <c r="C78" s="15">
        <f>+'Fast Key'!BO115</f>
        <v>0</v>
      </c>
      <c r="D78" s="14" t="e">
        <f>+Shepparton!#REF!</f>
        <v>#REF!</v>
      </c>
      <c r="E78" s="14" t="e">
        <f>+Shepparton!#REF!</f>
        <v>#REF!</v>
      </c>
    </row>
    <row r="79" spans="2:5" hidden="1">
      <c r="B79">
        <f>+'Fast Key'!A116</f>
        <v>0</v>
      </c>
      <c r="C79" s="15">
        <f>+'Fast Key'!BO116</f>
        <v>0</v>
      </c>
      <c r="D79" s="14" t="e">
        <f>+Shepparton!#REF!</f>
        <v>#REF!</v>
      </c>
      <c r="E79" s="14" t="e">
        <f>+Shepparton!#REF!</f>
        <v>#REF!</v>
      </c>
    </row>
    <row r="80" spans="2:5" hidden="1">
      <c r="B80">
        <f>+'Fast Key'!A117</f>
        <v>0</v>
      </c>
      <c r="C80" s="15">
        <f>+'Fast Key'!BO117</f>
        <v>0</v>
      </c>
      <c r="D80" s="14" t="e">
        <f>+Shepparton!#REF!</f>
        <v>#REF!</v>
      </c>
      <c r="E80" s="14" t="e">
        <f>+Shepparton!#REF!</f>
        <v>#REF!</v>
      </c>
    </row>
    <row r="81" spans="2:5" hidden="1">
      <c r="B81">
        <f>+'Fast Key'!A118</f>
        <v>0</v>
      </c>
      <c r="C81" s="15">
        <f>+'Fast Key'!BO118</f>
        <v>0</v>
      </c>
      <c r="D81" s="14" t="e">
        <f>+Shepparton!#REF!</f>
        <v>#REF!</v>
      </c>
      <c r="E81" s="14" t="e">
        <f>+Shepparton!#REF!</f>
        <v>#REF!</v>
      </c>
    </row>
    <row r="82" spans="2:5" hidden="1">
      <c r="B82">
        <f>+'Fast Key'!A119</f>
        <v>0</v>
      </c>
      <c r="C82" s="15">
        <f>+'Fast Key'!BO119</f>
        <v>0</v>
      </c>
      <c r="D82" s="14" t="e">
        <f>+Shepparton!#REF!</f>
        <v>#REF!</v>
      </c>
      <c r="E82" s="14" t="e">
        <f>+Shepparton!#REF!</f>
        <v>#REF!</v>
      </c>
    </row>
    <row r="83" spans="2:5" hidden="1">
      <c r="B83">
        <f>+'Fast Key'!A120</f>
        <v>0</v>
      </c>
      <c r="C83" s="15">
        <f>+'Fast Key'!BO120</f>
        <v>0</v>
      </c>
      <c r="D83" s="14" t="e">
        <f>+Shepparton!#REF!</f>
        <v>#REF!</v>
      </c>
      <c r="E83" s="14" t="e">
        <f>+Shepparton!#REF!</f>
        <v>#REF!</v>
      </c>
    </row>
    <row r="84" spans="2:5" hidden="1">
      <c r="B84">
        <f>+'Fast Key'!A121</f>
        <v>0</v>
      </c>
      <c r="C84" s="15">
        <f>+'Fast Key'!BO121</f>
        <v>0</v>
      </c>
      <c r="D84" s="14" t="e">
        <f>+Shepparton!#REF!</f>
        <v>#REF!</v>
      </c>
      <c r="E84" s="14" t="e">
        <f>+Shepparton!#REF!</f>
        <v>#REF!</v>
      </c>
    </row>
    <row r="85" spans="2:5" hidden="1">
      <c r="B85">
        <f>+'Fast Key'!A122</f>
        <v>0</v>
      </c>
      <c r="C85" s="15">
        <f>+'Fast Key'!BO122</f>
        <v>0</v>
      </c>
      <c r="D85" s="14" t="e">
        <f>+Shepparton!#REF!</f>
        <v>#REF!</v>
      </c>
      <c r="E85" s="14" t="e">
        <f>+Shepparton!#REF!</f>
        <v>#REF!</v>
      </c>
    </row>
    <row r="86" spans="2:5" hidden="1">
      <c r="B86">
        <f>+'Fast Key'!A123</f>
        <v>0</v>
      </c>
      <c r="C86" s="15">
        <f>+'Fast Key'!BO123</f>
        <v>0</v>
      </c>
      <c r="D86" s="14" t="e">
        <f>+Shepparton!#REF!</f>
        <v>#REF!</v>
      </c>
      <c r="E86" s="14" t="e">
        <f>+Shepparton!#REF!</f>
        <v>#REF!</v>
      </c>
    </row>
    <row r="87" spans="2:5" hidden="1">
      <c r="B87">
        <f>+'Fast Key'!A124</f>
        <v>0</v>
      </c>
      <c r="C87" s="15">
        <f>+'Fast Key'!BO124</f>
        <v>0</v>
      </c>
      <c r="D87" s="14" t="e">
        <f>+Shepparton!#REF!</f>
        <v>#REF!</v>
      </c>
      <c r="E87" s="14" t="e">
        <f>+Shepparton!#REF!</f>
        <v>#REF!</v>
      </c>
    </row>
    <row r="88" spans="2:5" hidden="1">
      <c r="B88">
        <f>+'Fast Key'!A125</f>
        <v>0</v>
      </c>
      <c r="C88" s="15">
        <f>+'Fast Key'!BO125</f>
        <v>0</v>
      </c>
      <c r="D88" s="14" t="e">
        <f>+Shepparton!#REF!</f>
        <v>#REF!</v>
      </c>
      <c r="E88" s="14" t="e">
        <f>+Shepparton!#REF!</f>
        <v>#REF!</v>
      </c>
    </row>
    <row r="89" spans="2:5" hidden="1">
      <c r="B89">
        <f>+'Fast Key'!A126</f>
        <v>0</v>
      </c>
      <c r="C89" s="15">
        <f>+'Fast Key'!BO126</f>
        <v>0</v>
      </c>
      <c r="D89" s="14" t="e">
        <f>+Shepparton!#REF!</f>
        <v>#REF!</v>
      </c>
      <c r="E89" s="14" t="e">
        <f>+Shepparton!#REF!</f>
        <v>#REF!</v>
      </c>
    </row>
    <row r="90" spans="2:5" hidden="1">
      <c r="B90">
        <f>+'Fast Key'!A127</f>
        <v>0</v>
      </c>
      <c r="C90" s="15">
        <f>+'Fast Key'!BO127</f>
        <v>0</v>
      </c>
      <c r="D90" s="14" t="e">
        <f>+Shepparton!#REF!</f>
        <v>#REF!</v>
      </c>
      <c r="E90" s="14" t="e">
        <f>+Shepparton!#REF!</f>
        <v>#REF!</v>
      </c>
    </row>
    <row r="91" spans="2:5" hidden="1">
      <c r="B91">
        <f>+'Fast Key'!A128</f>
        <v>0</v>
      </c>
      <c r="C91" s="15">
        <f>+'Fast Key'!BO128</f>
        <v>0</v>
      </c>
      <c r="D91" s="14" t="e">
        <f>+Shepparton!#REF!</f>
        <v>#REF!</v>
      </c>
      <c r="E91" s="14" t="e">
        <f>+Shepparton!#REF!</f>
        <v>#REF!</v>
      </c>
    </row>
    <row r="92" spans="2:5" hidden="1">
      <c r="B92">
        <f>+'Fast Key'!A129</f>
        <v>0</v>
      </c>
      <c r="C92" s="15">
        <f>+'Fast Key'!BO129</f>
        <v>0</v>
      </c>
      <c r="D92" s="14" t="e">
        <f>+Shepparton!#REF!</f>
        <v>#REF!</v>
      </c>
      <c r="E92" s="14" t="e">
        <f>+Shepparton!#REF!</f>
        <v>#REF!</v>
      </c>
    </row>
    <row r="93" spans="2:5" hidden="1">
      <c r="B93">
        <f>+'Fast Key'!A130</f>
        <v>0</v>
      </c>
      <c r="C93" s="15">
        <f>+'Fast Key'!BO130</f>
        <v>0</v>
      </c>
      <c r="D93" s="14" t="e">
        <f>+Shepparton!#REF!</f>
        <v>#REF!</v>
      </c>
      <c r="E93" s="14" t="e">
        <f>+Shepparton!#REF!</f>
        <v>#REF!</v>
      </c>
    </row>
    <row r="94" spans="2:5" hidden="1">
      <c r="B94">
        <f>+'Fast Key'!A134</f>
        <v>0</v>
      </c>
      <c r="C94" s="15">
        <f>+'Fast Key'!BO134</f>
        <v>0</v>
      </c>
      <c r="D94" s="14" t="e">
        <f>+Shepparton!#REF!</f>
        <v>#REF!</v>
      </c>
      <c r="E94" s="14" t="e">
        <f>+Shepparton!#REF!</f>
        <v>#REF!</v>
      </c>
    </row>
    <row r="95" spans="2:5" hidden="1">
      <c r="B95">
        <f>+'Fast Key'!A135</f>
        <v>0</v>
      </c>
      <c r="C95" s="15">
        <f>+'Fast Key'!BO135</f>
        <v>0</v>
      </c>
      <c r="D95" s="14" t="e">
        <f>+Shepparton!#REF!</f>
        <v>#REF!</v>
      </c>
      <c r="E95" s="14" t="e">
        <f>+Shepparton!#REF!</f>
        <v>#REF!</v>
      </c>
    </row>
    <row r="96" spans="2:5" hidden="1">
      <c r="B96">
        <f>+'Fast Key'!A136</f>
        <v>0</v>
      </c>
      <c r="C96" s="15">
        <f>+'Fast Key'!BO136</f>
        <v>0</v>
      </c>
      <c r="D96" s="14" t="e">
        <f>+Shepparton!#REF!</f>
        <v>#REF!</v>
      </c>
      <c r="E96" s="14" t="e">
        <f>+Shepparton!#REF!</f>
        <v>#REF!</v>
      </c>
    </row>
    <row r="97" spans="1:14" hidden="1">
      <c r="B97">
        <f>+'Fast Key'!A137</f>
        <v>0</v>
      </c>
      <c r="C97" s="15">
        <f>+'Fast Key'!BO137</f>
        <v>0</v>
      </c>
      <c r="D97" s="14" t="e">
        <f>+Shepparton!#REF!</f>
        <v>#REF!</v>
      </c>
      <c r="E97" s="14" t="e">
        <f>+Shepparton!#REF!</f>
        <v>#REF!</v>
      </c>
    </row>
    <row r="99" spans="1:14" ht="15" thickBot="1">
      <c r="B99" t="s">
        <v>110</v>
      </c>
      <c r="D99" s="16">
        <v>1600</v>
      </c>
      <c r="G99" t="s">
        <v>109</v>
      </c>
      <c r="H99" s="16">
        <v>6105</v>
      </c>
      <c r="I99" t="s">
        <v>3</v>
      </c>
      <c r="J99" s="16">
        <v>4160</v>
      </c>
      <c r="L99" s="17" t="s">
        <v>111</v>
      </c>
      <c r="M99" s="17"/>
      <c r="N99" s="17"/>
    </row>
    <row r="101" spans="1:14">
      <c r="C101" t="s">
        <v>112</v>
      </c>
      <c r="D101" s="18" t="s">
        <v>113</v>
      </c>
      <c r="E101" s="18" t="s">
        <v>114</v>
      </c>
      <c r="G101">
        <f>+(D102+D103+D104+D105)*D99+H99+J99</f>
        <v>10265</v>
      </c>
    </row>
    <row r="102" spans="1:14">
      <c r="A102" t="s">
        <v>763</v>
      </c>
      <c r="B102" t="s">
        <v>115</v>
      </c>
      <c r="C102" t="s">
        <v>116</v>
      </c>
      <c r="F102">
        <f t="shared" ref="F102:F109" si="0">+E102-D102</f>
        <v>0</v>
      </c>
      <c r="G102">
        <f>+IF(F102&gt;0,(F102*#REF!),0)</f>
        <v>0</v>
      </c>
    </row>
    <row r="103" spans="1:14">
      <c r="A103" t="s">
        <v>764</v>
      </c>
      <c r="B103" t="s">
        <v>117</v>
      </c>
      <c r="C103" t="s">
        <v>116</v>
      </c>
      <c r="F103">
        <f t="shared" si="0"/>
        <v>0</v>
      </c>
      <c r="G103">
        <f>+IF(F103&gt;0,(F103*#REF!),0)</f>
        <v>0</v>
      </c>
    </row>
    <row r="104" spans="1:14">
      <c r="A104" t="s">
        <v>765</v>
      </c>
      <c r="B104" t="s">
        <v>118</v>
      </c>
      <c r="C104" t="s">
        <v>116</v>
      </c>
      <c r="F104">
        <f t="shared" si="0"/>
        <v>0</v>
      </c>
      <c r="G104">
        <f>+IF(F104&gt;0,(F104*#REF!),0)</f>
        <v>0</v>
      </c>
    </row>
    <row r="105" spans="1:14">
      <c r="A105" t="s">
        <v>766</v>
      </c>
      <c r="B105" t="s">
        <v>119</v>
      </c>
      <c r="C105" t="s">
        <v>116</v>
      </c>
      <c r="F105">
        <f t="shared" si="0"/>
        <v>0</v>
      </c>
      <c r="G105">
        <f>+IF(F105&gt;0,(F105*#REF!),0)</f>
        <v>0</v>
      </c>
    </row>
    <row r="106" spans="1:14">
      <c r="B106" t="s">
        <v>120</v>
      </c>
      <c r="C106" t="s">
        <v>121</v>
      </c>
      <c r="F106">
        <f t="shared" si="0"/>
        <v>0</v>
      </c>
      <c r="G106">
        <f>+IF(F106&gt;0,(F106*(#REF!+#REF!)),0)</f>
        <v>0</v>
      </c>
    </row>
    <row r="107" spans="1:14">
      <c r="B107" t="s">
        <v>122</v>
      </c>
      <c r="C107" t="s">
        <v>121</v>
      </c>
      <c r="F107">
        <f t="shared" si="0"/>
        <v>0</v>
      </c>
      <c r="G107">
        <f>+IF(F107&gt;0,(F107*(#REF!+#REF!)),0)</f>
        <v>0</v>
      </c>
    </row>
    <row r="108" spans="1:14">
      <c r="A108" t="s">
        <v>767</v>
      </c>
      <c r="B108" t="s">
        <v>123</v>
      </c>
      <c r="C108" t="s">
        <v>124</v>
      </c>
      <c r="F108">
        <f t="shared" si="0"/>
        <v>0</v>
      </c>
      <c r="G108">
        <f>+IF(F108&gt;0,(F108*#REF!),0)</f>
        <v>0</v>
      </c>
    </row>
    <row r="109" spans="1:14">
      <c r="B109" t="s">
        <v>125</v>
      </c>
      <c r="C109" t="s">
        <v>124</v>
      </c>
      <c r="F109">
        <f t="shared" si="0"/>
        <v>0</v>
      </c>
      <c r="G109">
        <f>+IF(F109&gt;0,(F109*#REF!),0)</f>
        <v>0</v>
      </c>
    </row>
    <row r="111" spans="1:14">
      <c r="A111" t="s">
        <v>768</v>
      </c>
      <c r="B111" t="s">
        <v>4</v>
      </c>
      <c r="C111" t="s">
        <v>121</v>
      </c>
      <c r="F111">
        <f>+E111-D111</f>
        <v>0</v>
      </c>
      <c r="G111">
        <f>+IF(F111&gt;0,(F111*#REF!),0)</f>
        <v>0</v>
      </c>
    </row>
    <row r="112" spans="1:14">
      <c r="A112" t="s">
        <v>769</v>
      </c>
      <c r="B112" t="s">
        <v>126</v>
      </c>
      <c r="C112" t="s">
        <v>121</v>
      </c>
      <c r="F112">
        <f>+E112-D112</f>
        <v>0</v>
      </c>
      <c r="G112">
        <f>+IF(F112&gt;0,(F112*#REF!),0)</f>
        <v>0</v>
      </c>
    </row>
    <row r="113" spans="1:7">
      <c r="A113" t="s">
        <v>770</v>
      </c>
      <c r="B113" t="s">
        <v>127</v>
      </c>
      <c r="C113" t="s">
        <v>121</v>
      </c>
      <c r="F113">
        <f>+E113-D113</f>
        <v>0</v>
      </c>
      <c r="G113">
        <f>+IF(F113&gt;0,(F113*#REF!),0)</f>
        <v>0</v>
      </c>
    </row>
    <row r="114" spans="1:7">
      <c r="A114" t="s">
        <v>771</v>
      </c>
      <c r="B114" t="s">
        <v>128</v>
      </c>
      <c r="C114" t="s">
        <v>121</v>
      </c>
      <c r="F114">
        <f>+E114-D114</f>
        <v>0</v>
      </c>
      <c r="G114">
        <f>+IF(F114&gt;0,(F114*#REF!),0)</f>
        <v>0</v>
      </c>
    </row>
    <row r="116" spans="1:7">
      <c r="A116" t="s">
        <v>772</v>
      </c>
      <c r="B116" t="s">
        <v>129</v>
      </c>
      <c r="C116" t="s">
        <v>121</v>
      </c>
      <c r="F116">
        <f>+E116-D116</f>
        <v>0</v>
      </c>
      <c r="G116">
        <f>+IF(F116&gt;0,(F116*#REF!),0)</f>
        <v>0</v>
      </c>
    </row>
    <row r="117" spans="1:7">
      <c r="A117" t="s">
        <v>773</v>
      </c>
      <c r="B117" t="s">
        <v>130</v>
      </c>
      <c r="C117" t="s">
        <v>121</v>
      </c>
      <c r="F117">
        <f>+E117-D117</f>
        <v>0</v>
      </c>
      <c r="G117">
        <f>+IF(F117&gt;0,(F117*#REF!),0)</f>
        <v>0</v>
      </c>
    </row>
    <row r="118" spans="1:7">
      <c r="A118" t="s">
        <v>774</v>
      </c>
      <c r="B118" t="s">
        <v>131</v>
      </c>
      <c r="C118" t="s">
        <v>121</v>
      </c>
      <c r="F118">
        <f>+E118-D118</f>
        <v>0</v>
      </c>
      <c r="G118">
        <f>+IF(F118&gt;0,(F118*#REF!),0)</f>
        <v>0</v>
      </c>
    </row>
    <row r="120" spans="1:7">
      <c r="A120" t="s">
        <v>775</v>
      </c>
      <c r="B120" t="s">
        <v>132</v>
      </c>
      <c r="C120" t="s">
        <v>121</v>
      </c>
      <c r="F120">
        <f>+E120-D120</f>
        <v>0</v>
      </c>
      <c r="G120" t="e">
        <f>+IF(F120&gt;0,(F120*#REF!*10),(F120*#REF!*10*0.8))</f>
        <v>#REF!</v>
      </c>
    </row>
    <row r="121" spans="1:7">
      <c r="A121" t="s">
        <v>776</v>
      </c>
      <c r="B121" t="s">
        <v>133</v>
      </c>
      <c r="C121" t="s">
        <v>121</v>
      </c>
      <c r="F121">
        <f>+E121-D121</f>
        <v>0</v>
      </c>
      <c r="G121" t="e">
        <f>+IF(F121&gt;0,(F121*#REF!*10),(F121*#REF!*10*0.8))</f>
        <v>#REF!</v>
      </c>
    </row>
    <row r="122" spans="1:7">
      <c r="A122" t="s">
        <v>777</v>
      </c>
      <c r="B122" t="s">
        <v>134</v>
      </c>
      <c r="C122" t="s">
        <v>121</v>
      </c>
      <c r="F122">
        <f>+E122-D122</f>
        <v>0</v>
      </c>
      <c r="G122" t="e">
        <f>+IF(F122&gt;0,(F122*#REF!*10),(F122*#REF!*10*0.8))</f>
        <v>#REF!</v>
      </c>
    </row>
    <row r="123" spans="1:7" ht="16.5" customHeight="1"/>
    <row r="124" spans="1:7">
      <c r="A124" t="s">
        <v>784</v>
      </c>
      <c r="B124" t="s">
        <v>778</v>
      </c>
      <c r="C124" t="s">
        <v>121</v>
      </c>
      <c r="F124">
        <f t="shared" ref="F124:F129" si="1">+E124-D124</f>
        <v>0</v>
      </c>
      <c r="G124" s="247" t="e">
        <f>IF(F124&gt;0,(F124*#REF!*10),((F124*#REF!*10*0.8)))</f>
        <v>#REF!</v>
      </c>
    </row>
    <row r="125" spans="1:7">
      <c r="A125" t="s">
        <v>786</v>
      </c>
      <c r="B125" t="s">
        <v>779</v>
      </c>
      <c r="C125" t="s">
        <v>124</v>
      </c>
      <c r="F125">
        <f t="shared" si="1"/>
        <v>0</v>
      </c>
      <c r="G125" t="e">
        <f>+IF(F125&gt;0,(F125*#REF!),((F125*#REF!*0.8)))</f>
        <v>#REF!</v>
      </c>
    </row>
    <row r="126" spans="1:7">
      <c r="A126" t="s">
        <v>785</v>
      </c>
      <c r="B126" t="s">
        <v>780</v>
      </c>
      <c r="C126" t="s">
        <v>121</v>
      </c>
      <c r="F126">
        <f t="shared" si="1"/>
        <v>0</v>
      </c>
      <c r="G126" s="247" t="e">
        <f>IF(F126&gt;0,(F126*#REF!*10),((F126*#REF!*10*0.8)))</f>
        <v>#REF!</v>
      </c>
    </row>
    <row r="127" spans="1:7">
      <c r="A127" t="s">
        <v>787</v>
      </c>
      <c r="B127" t="s">
        <v>781</v>
      </c>
      <c r="C127" t="s">
        <v>124</v>
      </c>
      <c r="F127">
        <f t="shared" si="1"/>
        <v>0</v>
      </c>
      <c r="G127" t="e">
        <f>+IF(F127&gt;0,(F127*#REF!),((F127*#REF!*0.8)))</f>
        <v>#REF!</v>
      </c>
    </row>
    <row r="128" spans="1:7">
      <c r="A128" t="s">
        <v>788</v>
      </c>
      <c r="B128" t="s">
        <v>782</v>
      </c>
      <c r="C128" t="s">
        <v>121</v>
      </c>
      <c r="F128">
        <f t="shared" si="1"/>
        <v>0</v>
      </c>
      <c r="G128" s="247" t="e">
        <f>IF(F128&gt;0,(F128*#REF!*10),((F128*#REF!*10*0.8)))</f>
        <v>#REF!</v>
      </c>
    </row>
    <row r="129" spans="1:7">
      <c r="A129" t="s">
        <v>789</v>
      </c>
      <c r="B129" t="s">
        <v>783</v>
      </c>
      <c r="C129" t="s">
        <v>124</v>
      </c>
      <c r="F129">
        <f t="shared" si="1"/>
        <v>0</v>
      </c>
      <c r="G129" t="e">
        <f>+IF(F129&gt;0,(F129*#REF!),((F129*#REF!*0.8)))</f>
        <v>#REF!</v>
      </c>
    </row>
    <row r="131" spans="1:7">
      <c r="A131" t="s">
        <v>790</v>
      </c>
      <c r="B131" t="s">
        <v>135</v>
      </c>
      <c r="C131" t="s">
        <v>121</v>
      </c>
      <c r="F131">
        <f>+E131-D131</f>
        <v>0</v>
      </c>
      <c r="G131" t="e">
        <f>+IF(F131&gt;0,(F131*#REF!*10),(F131*#REF!*10*0.8))</f>
        <v>#REF!</v>
      </c>
    </row>
    <row r="133" spans="1:7">
      <c r="B133" t="s">
        <v>136</v>
      </c>
      <c r="C133" t="s">
        <v>124</v>
      </c>
      <c r="F133">
        <f>+E133-D133</f>
        <v>0</v>
      </c>
      <c r="G133" t="e">
        <f>+IF(F133&gt;0,(F133*#REF!),(F133*#REF!*0.8))</f>
        <v>#REF!</v>
      </c>
    </row>
    <row r="134" spans="1:7">
      <c r="B134" t="s">
        <v>137</v>
      </c>
      <c r="C134" t="s">
        <v>124</v>
      </c>
      <c r="F134">
        <f>+E134-D134</f>
        <v>0</v>
      </c>
      <c r="G134" t="e">
        <f>+IF(F134&gt;0,(F134*#REF!),(F134*#REF!*0.8))</f>
        <v>#REF!</v>
      </c>
    </row>
    <row r="135" spans="1:7">
      <c r="B135" t="s">
        <v>138</v>
      </c>
      <c r="C135" t="s">
        <v>124</v>
      </c>
      <c r="F135">
        <f>+E135-D135</f>
        <v>0</v>
      </c>
      <c r="G135" t="e">
        <f>+IF(F135&gt;0,(F135*#REF!),(F135*#REF!*0.8))</f>
        <v>#REF!</v>
      </c>
    </row>
    <row r="136" spans="1:7">
      <c r="B136" t="s">
        <v>139</v>
      </c>
      <c r="C136" t="s">
        <v>124</v>
      </c>
      <c r="F136">
        <f>+E136-D136</f>
        <v>0</v>
      </c>
      <c r="G136" t="e">
        <f>+IF(F136&gt;0,(F136*#REF!),(F136*#REF!*0.8))</f>
        <v>#REF!</v>
      </c>
    </row>
    <row r="138" spans="1:7">
      <c r="B138" t="s">
        <v>140</v>
      </c>
    </row>
    <row r="139" spans="1:7">
      <c r="B139" t="e">
        <f>+#REF!</f>
        <v>#REF!</v>
      </c>
      <c r="C139" t="s">
        <v>124</v>
      </c>
      <c r="D139">
        <v>2</v>
      </c>
      <c r="E139">
        <v>1</v>
      </c>
      <c r="F139">
        <f t="shared" ref="F139:F145" si="2">+E139-D139</f>
        <v>-1</v>
      </c>
      <c r="G139" t="e">
        <f>+IF(F139&gt;0,(F139*#REF!),(F139*#REF!*0.8))</f>
        <v>#REF!</v>
      </c>
    </row>
    <row r="140" spans="1:7">
      <c r="B140" t="e">
        <f>+#REF!</f>
        <v>#REF!</v>
      </c>
      <c r="C140" t="s">
        <v>124</v>
      </c>
      <c r="D140">
        <v>2</v>
      </c>
      <c r="E140">
        <v>1</v>
      </c>
      <c r="F140">
        <f t="shared" si="2"/>
        <v>-1</v>
      </c>
      <c r="G140" t="e">
        <f>+IF(F140&gt;0,(F140*#REF!),(F140*#REF!*0.8))</f>
        <v>#REF!</v>
      </c>
    </row>
    <row r="141" spans="1:7">
      <c r="B141" t="e">
        <f>+#REF!</f>
        <v>#REF!</v>
      </c>
      <c r="C141" t="s">
        <v>124</v>
      </c>
      <c r="E141">
        <v>1</v>
      </c>
      <c r="F141">
        <f t="shared" si="2"/>
        <v>1</v>
      </c>
      <c r="G141" t="e">
        <f>+IF(F141&gt;0,(F141*#REF!),(F141*#REF!*0.8))</f>
        <v>#REF!</v>
      </c>
    </row>
    <row r="142" spans="1:7">
      <c r="B142" t="e">
        <f>+#REF!</f>
        <v>#REF!</v>
      </c>
      <c r="C142" t="s">
        <v>124</v>
      </c>
      <c r="F142">
        <f t="shared" si="2"/>
        <v>0</v>
      </c>
      <c r="G142">
        <f>+IF(F142&gt;0,(F142*#REF!),0)</f>
        <v>0</v>
      </c>
    </row>
    <row r="143" spans="1:7">
      <c r="B143" t="e">
        <f>+#REF!</f>
        <v>#REF!</v>
      </c>
      <c r="C143" t="s">
        <v>124</v>
      </c>
      <c r="F143">
        <f t="shared" si="2"/>
        <v>0</v>
      </c>
      <c r="G143">
        <f>+IF(F143&gt;0,(F143*#REF!),0)</f>
        <v>0</v>
      </c>
    </row>
    <row r="144" spans="1:7">
      <c r="B144" t="e">
        <f>+#REF!</f>
        <v>#REF!</v>
      </c>
      <c r="C144" t="s">
        <v>124</v>
      </c>
      <c r="F144">
        <f t="shared" si="2"/>
        <v>0</v>
      </c>
      <c r="G144">
        <f>+IF(F144&gt;0,(F144*#REF!),0)</f>
        <v>0</v>
      </c>
    </row>
    <row r="145" spans="2:7">
      <c r="B145" t="e">
        <f>+#REF!</f>
        <v>#REF!</v>
      </c>
      <c r="C145" t="s">
        <v>124</v>
      </c>
      <c r="F145">
        <f t="shared" si="2"/>
        <v>0</v>
      </c>
      <c r="G145">
        <f>+IF(F145&gt;0,(F145*#REF!),0)</f>
        <v>0</v>
      </c>
    </row>
    <row r="147" spans="2:7">
      <c r="B147" t="s">
        <v>141</v>
      </c>
      <c r="C147" t="s">
        <v>124</v>
      </c>
      <c r="F147">
        <f>+E147-D147</f>
        <v>0</v>
      </c>
      <c r="G147">
        <f>+IF(F147&gt;0,(F147*#REF!),0)</f>
        <v>0</v>
      </c>
    </row>
    <row r="148" spans="2:7">
      <c r="B148" t="s">
        <v>142</v>
      </c>
      <c r="C148" t="s">
        <v>124</v>
      </c>
      <c r="F148">
        <f>+E148-D148</f>
        <v>0</v>
      </c>
      <c r="G148">
        <f>+IF(F148&gt;0,(F148*#REF!),0)</f>
        <v>0</v>
      </c>
    </row>
    <row r="149" spans="2:7">
      <c r="B149" t="s">
        <v>143</v>
      </c>
    </row>
    <row r="150" spans="2:7">
      <c r="B150" t="e">
        <f>+#REF!</f>
        <v>#REF!</v>
      </c>
      <c r="C150" t="s">
        <v>124</v>
      </c>
      <c r="F150">
        <f t="shared" ref="F150:F155" si="3">+E150-D150</f>
        <v>0</v>
      </c>
      <c r="G150">
        <f>+IF(F150&gt;0,(F150*#REF!),0)</f>
        <v>0</v>
      </c>
    </row>
    <row r="151" spans="2:7">
      <c r="B151" t="e">
        <f>+#REF!</f>
        <v>#REF!</v>
      </c>
      <c r="C151" t="s">
        <v>124</v>
      </c>
      <c r="F151">
        <f t="shared" si="3"/>
        <v>0</v>
      </c>
      <c r="G151">
        <f>+IF(F151&gt;0,(F151*#REF!),0)</f>
        <v>0</v>
      </c>
    </row>
    <row r="152" spans="2:7">
      <c r="B152" t="e">
        <f>+#REF!</f>
        <v>#REF!</v>
      </c>
      <c r="C152" t="s">
        <v>124</v>
      </c>
      <c r="F152">
        <f t="shared" si="3"/>
        <v>0</v>
      </c>
      <c r="G152">
        <f>+IF(F152&gt;0,(F152*#REF!),0)</f>
        <v>0</v>
      </c>
    </row>
    <row r="153" spans="2:7">
      <c r="B153" t="e">
        <f>+#REF!</f>
        <v>#REF!</v>
      </c>
      <c r="C153" t="s">
        <v>124</v>
      </c>
      <c r="F153">
        <f t="shared" si="3"/>
        <v>0</v>
      </c>
      <c r="G153">
        <f>+IF(F153&gt;0,(F153*#REF!),0)</f>
        <v>0</v>
      </c>
    </row>
    <row r="154" spans="2:7">
      <c r="B154" t="e">
        <f>+#REF!</f>
        <v>#REF!</v>
      </c>
      <c r="C154" t="s">
        <v>124</v>
      </c>
      <c r="F154">
        <f t="shared" si="3"/>
        <v>0</v>
      </c>
      <c r="G154">
        <f>+IF(F154&gt;0,(F154*#REF!),0)</f>
        <v>0</v>
      </c>
    </row>
    <row r="155" spans="2:7">
      <c r="B155" t="e">
        <f>+#REF!</f>
        <v>#REF!</v>
      </c>
      <c r="C155" t="s">
        <v>124</v>
      </c>
      <c r="F155">
        <f t="shared" si="3"/>
        <v>0</v>
      </c>
      <c r="G155">
        <f>+IF(F155&gt;0,(F155*#REF!),0)</f>
        <v>0</v>
      </c>
    </row>
    <row r="157" spans="2:7">
      <c r="B157" t="s">
        <v>144</v>
      </c>
    </row>
    <row r="158" spans="2:7">
      <c r="B158" t="s">
        <v>145</v>
      </c>
      <c r="C158" t="s">
        <v>124</v>
      </c>
      <c r="F158">
        <f t="shared" ref="F158:F163" si="4">+E158-D158</f>
        <v>0</v>
      </c>
      <c r="G158">
        <f>+IF(F158&gt;0,(F158*#REF!),0)</f>
        <v>0</v>
      </c>
    </row>
    <row r="159" spans="2:7">
      <c r="B159" t="s">
        <v>146</v>
      </c>
      <c r="C159" t="s">
        <v>124</v>
      </c>
      <c r="F159">
        <f t="shared" si="4"/>
        <v>0</v>
      </c>
      <c r="G159">
        <f>+IF(F159&gt;0,(F159*#REF!),0)</f>
        <v>0</v>
      </c>
    </row>
    <row r="160" spans="2:7">
      <c r="B160" t="s">
        <v>147</v>
      </c>
      <c r="C160" t="s">
        <v>124</v>
      </c>
      <c r="F160">
        <f t="shared" si="4"/>
        <v>0</v>
      </c>
      <c r="G160">
        <f>+IF(F160&gt;0,(F160*#REF!),0)</f>
        <v>0</v>
      </c>
    </row>
    <row r="161" spans="2:7">
      <c r="B161" t="s">
        <v>148</v>
      </c>
      <c r="C161" t="s">
        <v>121</v>
      </c>
      <c r="F161">
        <f t="shared" si="4"/>
        <v>0</v>
      </c>
      <c r="G161">
        <f>+IF(F161&gt;0,(#REF!*10),0)</f>
        <v>0</v>
      </c>
    </row>
    <row r="162" spans="2:7">
      <c r="B162" t="s">
        <v>149</v>
      </c>
      <c r="C162" t="s">
        <v>121</v>
      </c>
      <c r="F162">
        <f t="shared" si="4"/>
        <v>0</v>
      </c>
      <c r="G162">
        <f>+IF(F162&gt;0,(#REF!*10),0)</f>
        <v>0</v>
      </c>
    </row>
    <row r="163" spans="2:7">
      <c r="B163" t="s">
        <v>150</v>
      </c>
      <c r="C163" t="s">
        <v>124</v>
      </c>
      <c r="F163">
        <f t="shared" si="4"/>
        <v>0</v>
      </c>
      <c r="G163">
        <f>+IF(F163&gt;0,(F163*#REF!),0)</f>
        <v>0</v>
      </c>
    </row>
    <row r="165" spans="2:7">
      <c r="B165" t="s">
        <v>109</v>
      </c>
      <c r="C165" t="s">
        <v>116</v>
      </c>
      <c r="F165">
        <f>+E165-D165</f>
        <v>0</v>
      </c>
      <c r="G165">
        <f>+IF(F165&gt;0,(F165*#REF!),0)</f>
        <v>0</v>
      </c>
    </row>
    <row r="166" spans="2:7">
      <c r="B166" t="s">
        <v>3</v>
      </c>
      <c r="C166" t="s">
        <v>116</v>
      </c>
      <c r="F166">
        <f>+E166-D166</f>
        <v>0</v>
      </c>
      <c r="G166">
        <f>+IF(F166&gt;0,(F166*#REF!),0)</f>
        <v>0</v>
      </c>
    </row>
    <row r="167" spans="2:7" ht="15" thickBot="1">
      <c r="E167" s="18" t="s">
        <v>151</v>
      </c>
      <c r="G167" s="19" t="e">
        <f>SUBTOTAL(9,G101:G166)</f>
        <v>#REF!</v>
      </c>
    </row>
  </sheetData>
  <autoFilter ref="B2:B97" xr:uid="{0187A36A-9E16-4EFC-B30F-A6301A036D45}">
    <filterColumn colId="0">
      <filters>
        <filter val="Adelaide 18"/>
      </filters>
    </filterColumn>
  </autoFilter>
  <pageMargins left="0.7" right="0.7" top="0.75" bottom="0.75" header="0.3" footer="0.3"/>
  <pageSetup paperSize="9" orientation="portrait" horizontalDpi="12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053C-E614-4841-AD64-BA19540F3443}">
  <sheetPr codeName="Sheet26"/>
  <dimension ref="A2:H375"/>
  <sheetViews>
    <sheetView zoomScaleNormal="100" workbookViewId="0">
      <selection activeCell="A251" sqref="A251:B251"/>
    </sheetView>
  </sheetViews>
  <sheetFormatPr defaultRowHeight="14.4"/>
  <cols>
    <col min="1" max="1" width="68.88671875" customWidth="1"/>
    <col min="2" max="2" width="9.109375" style="99"/>
  </cols>
  <sheetData>
    <row r="2" spans="1:2">
      <c r="A2" t="s">
        <v>1051</v>
      </c>
    </row>
    <row r="4" spans="1:2" ht="15" thickBot="1"/>
    <row r="5" spans="1:2" ht="15" customHeight="1">
      <c r="A5" s="578" t="s">
        <v>1044</v>
      </c>
      <c r="B5" s="579"/>
    </row>
    <row r="6" spans="1:2" ht="15" customHeight="1">
      <c r="A6" s="580"/>
      <c r="B6" s="581"/>
    </row>
    <row r="7" spans="1:2" ht="12" customHeight="1">
      <c r="A7" s="580"/>
      <c r="B7" s="581"/>
    </row>
    <row r="8" spans="1:2" ht="15" customHeight="1" thickBot="1">
      <c r="A8" s="582"/>
      <c r="B8" s="583"/>
    </row>
    <row r="9" spans="1:2" ht="15" customHeight="1">
      <c r="A9" s="310"/>
      <c r="B9" s="310"/>
    </row>
    <row r="10" spans="1:2" ht="15" customHeight="1">
      <c r="A10" s="310"/>
      <c r="B10" s="310"/>
    </row>
    <row r="11" spans="1:2" ht="15" thickBot="1"/>
    <row r="12" spans="1:2" ht="20.100000000000001" customHeight="1">
      <c r="A12" s="584" t="s">
        <v>688</v>
      </c>
      <c r="B12" s="585"/>
    </row>
    <row r="13" spans="1:2" ht="20.100000000000001" customHeight="1">
      <c r="A13" s="223" t="s">
        <v>689</v>
      </c>
      <c r="B13" s="243" t="e">
        <f>ROUNDUP((2*#REF!)-#REF!,10)</f>
        <v>#REF!</v>
      </c>
    </row>
    <row r="14" spans="1:2" ht="20.100000000000001" customHeight="1" thickBot="1">
      <c r="A14" s="225"/>
      <c r="B14" s="244" t="e">
        <f>SUM(B13:B13)</f>
        <v>#REF!</v>
      </c>
    </row>
    <row r="15" spans="1:2" ht="20.100000000000001" customHeight="1" thickBot="1"/>
    <row r="16" spans="1:2" ht="20.100000000000001" customHeight="1">
      <c r="A16" s="584" t="s">
        <v>692</v>
      </c>
      <c r="B16" s="585"/>
    </row>
    <row r="17" spans="1:2" ht="20.100000000000001" customHeight="1">
      <c r="A17" s="223" t="s">
        <v>689</v>
      </c>
      <c r="B17" s="242" t="e">
        <f>+B13</f>
        <v>#REF!</v>
      </c>
    </row>
    <row r="18" spans="1:2" ht="20.100000000000001" customHeight="1">
      <c r="A18" s="223" t="s">
        <v>693</v>
      </c>
      <c r="B18" s="243">
        <v>5500</v>
      </c>
    </row>
    <row r="19" spans="1:2" ht="20.100000000000001" customHeight="1" thickBot="1">
      <c r="A19" s="225"/>
      <c r="B19" s="244" t="e">
        <f>SUM(B17:B18)</f>
        <v>#REF!</v>
      </c>
    </row>
    <row r="20" spans="1:2" ht="20.100000000000001" customHeight="1" thickBot="1"/>
    <row r="21" spans="1:2" ht="20.100000000000001" customHeight="1">
      <c r="A21" s="584" t="s">
        <v>694</v>
      </c>
      <c r="B21" s="585"/>
    </row>
    <row r="22" spans="1:2" ht="20.100000000000001" customHeight="1">
      <c r="A22" s="223" t="s">
        <v>1026</v>
      </c>
      <c r="B22" s="242" t="e">
        <f>+ROUNDUP((#REF!*2)-#REF!,10)</f>
        <v>#REF!</v>
      </c>
    </row>
    <row r="23" spans="1:2" ht="20.100000000000001" customHeight="1">
      <c r="A23" s="223" t="s">
        <v>695</v>
      </c>
      <c r="B23" s="242">
        <f>+B18</f>
        <v>5500</v>
      </c>
    </row>
    <row r="24" spans="1:2" ht="20.100000000000001" customHeight="1">
      <c r="A24" s="223" t="s">
        <v>1027</v>
      </c>
      <c r="B24" s="242">
        <v>1300</v>
      </c>
    </row>
    <row r="25" spans="1:2" ht="20.100000000000001" customHeight="1">
      <c r="A25" s="223" t="s">
        <v>1025</v>
      </c>
      <c r="B25" s="243" t="e">
        <f>+CEILING(((#REF!*30)+(#REF!*2)+(#REF!*2)+(#REF!*2)),10)</f>
        <v>#REF!</v>
      </c>
    </row>
    <row r="26" spans="1:2" ht="20.100000000000001" customHeight="1" thickBot="1">
      <c r="A26" s="225"/>
      <c r="B26" s="244" t="e">
        <f>SUM(B22:B25)</f>
        <v>#REF!</v>
      </c>
    </row>
    <row r="27" spans="1:2" ht="20.100000000000001" customHeight="1" thickBot="1"/>
    <row r="28" spans="1:2" ht="20.100000000000001" customHeight="1">
      <c r="A28" s="584" t="s">
        <v>696</v>
      </c>
      <c r="B28" s="585"/>
    </row>
    <row r="29" spans="1:2" ht="20.100000000000001" customHeight="1">
      <c r="A29" s="223" t="s">
        <v>697</v>
      </c>
      <c r="B29" s="242" t="e">
        <f>+#REF!-#REF!</f>
        <v>#REF!</v>
      </c>
    </row>
    <row r="30" spans="1:2" ht="20.100000000000001" customHeight="1">
      <c r="A30" s="223" t="s">
        <v>698</v>
      </c>
      <c r="B30" s="242" t="e">
        <f>+#REF!</f>
        <v>#REF!</v>
      </c>
    </row>
    <row r="31" spans="1:2" ht="20.100000000000001" customHeight="1">
      <c r="A31" s="223" t="s">
        <v>693</v>
      </c>
      <c r="B31" s="242">
        <f>+B23</f>
        <v>5500</v>
      </c>
    </row>
    <row r="32" spans="1:2" ht="20.100000000000001" customHeight="1">
      <c r="A32" s="223" t="s">
        <v>1027</v>
      </c>
      <c r="B32" s="242">
        <f>+B24</f>
        <v>1300</v>
      </c>
    </row>
    <row r="33" spans="1:2" ht="20.100000000000001" customHeight="1">
      <c r="A33" s="223" t="s">
        <v>1050</v>
      </c>
      <c r="B33" s="243">
        <v>520</v>
      </c>
    </row>
    <row r="34" spans="1:2" ht="20.100000000000001" customHeight="1" thickBot="1">
      <c r="A34" s="225"/>
      <c r="B34" s="244" t="e">
        <f>SUM(B29:B33)</f>
        <v>#REF!</v>
      </c>
    </row>
    <row r="35" spans="1:2" ht="20.100000000000001" customHeight="1"/>
    <row r="37" spans="1:2">
      <c r="A37" t="str">
        <f>+A2</f>
        <v>Facade pricing July 2024</v>
      </c>
    </row>
    <row r="39" spans="1:2" ht="15" thickBot="1"/>
    <row r="40" spans="1:2" ht="20.100000000000001" customHeight="1">
      <c r="A40" s="584" t="s">
        <v>699</v>
      </c>
      <c r="B40" s="585"/>
    </row>
    <row r="41" spans="1:2" ht="20.100000000000001" customHeight="1">
      <c r="A41" s="223" t="s">
        <v>689</v>
      </c>
      <c r="B41" s="242" t="e">
        <f>+ROUNDUP((#REF!-#REF!)+#REF!,10)</f>
        <v>#REF!</v>
      </c>
    </row>
    <row r="42" spans="1:2" ht="20.100000000000001" customHeight="1">
      <c r="A42" s="223" t="s">
        <v>700</v>
      </c>
      <c r="B42" s="243" t="e">
        <f>+ROUNDUP(((#REF!*2.5)+2*#REF!+(2+1.5)*#REF!),10)+200</f>
        <v>#REF!</v>
      </c>
    </row>
    <row r="43" spans="1:2" ht="20.100000000000001" customHeight="1" thickBot="1">
      <c r="A43" s="225"/>
      <c r="B43" s="244" t="e">
        <f>SUM(B41:B42)</f>
        <v>#REF!</v>
      </c>
    </row>
    <row r="44" spans="1:2" ht="20.100000000000001" customHeight="1" thickBot="1"/>
    <row r="45" spans="1:2" ht="20.100000000000001" customHeight="1">
      <c r="A45" s="584" t="s">
        <v>701</v>
      </c>
      <c r="B45" s="585"/>
    </row>
    <row r="46" spans="1:2" ht="20.100000000000001" customHeight="1">
      <c r="A46" s="223" t="s">
        <v>1026</v>
      </c>
      <c r="B46" s="242" t="e">
        <f>+ROUNDUP((#REF!+#REF!-#REF!),10)</f>
        <v>#REF!</v>
      </c>
    </row>
    <row r="47" spans="1:2" ht="20.100000000000001" customHeight="1">
      <c r="A47" s="223" t="s">
        <v>1028</v>
      </c>
      <c r="B47" s="242">
        <v>6500</v>
      </c>
    </row>
    <row r="48" spans="1:2" ht="20.100000000000001" customHeight="1">
      <c r="A48" s="223" t="s">
        <v>700</v>
      </c>
      <c r="B48" s="242" t="e">
        <f>+B42</f>
        <v>#REF!</v>
      </c>
    </row>
    <row r="49" spans="1:2" ht="20.100000000000001" customHeight="1" thickBot="1">
      <c r="A49" s="225"/>
      <c r="B49" s="244" t="e">
        <f>SUM(B46:B48)</f>
        <v>#REF!</v>
      </c>
    </row>
    <row r="50" spans="1:2" ht="20.100000000000001" customHeight="1" thickBot="1"/>
    <row r="51" spans="1:2" ht="20.100000000000001" customHeight="1">
      <c r="A51" s="584" t="s">
        <v>703</v>
      </c>
      <c r="B51" s="585"/>
    </row>
    <row r="52" spans="1:2" ht="20.100000000000001" customHeight="1">
      <c r="A52" s="223" t="s">
        <v>697</v>
      </c>
      <c r="B52" s="242" t="e">
        <f>+B41</f>
        <v>#REF!</v>
      </c>
    </row>
    <row r="53" spans="1:2" ht="20.100000000000001" customHeight="1">
      <c r="A53" s="223" t="s">
        <v>704</v>
      </c>
      <c r="B53" s="242">
        <v>1110</v>
      </c>
    </row>
    <row r="54" spans="1:2" ht="20.100000000000001" customHeight="1">
      <c r="A54" s="223" t="s">
        <v>705</v>
      </c>
      <c r="B54" s="242">
        <v>530</v>
      </c>
    </row>
    <row r="55" spans="1:2" ht="20.100000000000001" customHeight="1">
      <c r="A55" s="223" t="s">
        <v>1028</v>
      </c>
      <c r="B55" s="242">
        <v>6100</v>
      </c>
    </row>
    <row r="56" spans="1:2" ht="20.100000000000001" customHeight="1">
      <c r="A56" s="223" t="s">
        <v>700</v>
      </c>
      <c r="B56" s="242" t="e">
        <f>+B48</f>
        <v>#REF!</v>
      </c>
    </row>
    <row r="57" spans="1:2" ht="20.100000000000001" customHeight="1">
      <c r="A57" s="223" t="s">
        <v>1025</v>
      </c>
      <c r="B57" s="257" t="e">
        <f>+ROUNDUP((#REF!*30+#REF!+#REF!+#REF!+#REF!),10)</f>
        <v>#REF!</v>
      </c>
    </row>
    <row r="58" spans="1:2" ht="20.100000000000001" customHeight="1" thickBot="1">
      <c r="A58" s="225"/>
      <c r="B58" s="244" t="e">
        <f>SUM(B52:B57)</f>
        <v>#REF!</v>
      </c>
    </row>
    <row r="60" spans="1:2">
      <c r="A60" t="str">
        <f>+A37</f>
        <v>Facade pricing July 2024</v>
      </c>
    </row>
    <row r="62" spans="1:2" ht="20.100000000000001" customHeight="1" thickBot="1"/>
    <row r="63" spans="1:2" ht="20.100000000000001" customHeight="1">
      <c r="A63" s="584" t="s">
        <v>706</v>
      </c>
      <c r="B63" s="585"/>
    </row>
    <row r="64" spans="1:2" ht="20.100000000000001" customHeight="1">
      <c r="A64" s="223" t="s">
        <v>689</v>
      </c>
      <c r="B64" s="242" t="e">
        <f>+B13</f>
        <v>#REF!</v>
      </c>
    </row>
    <row r="65" spans="1:2" ht="20.100000000000001" customHeight="1">
      <c r="A65" s="223" t="s">
        <v>700</v>
      </c>
      <c r="B65" s="242" t="e">
        <f>+B48</f>
        <v>#REF!</v>
      </c>
    </row>
    <row r="66" spans="1:2" ht="20.100000000000001" customHeight="1">
      <c r="A66" s="223" t="s">
        <v>690</v>
      </c>
      <c r="B66" s="243" t="s">
        <v>691</v>
      </c>
    </row>
    <row r="67" spans="1:2" ht="20.100000000000001" customHeight="1" thickBot="1">
      <c r="A67" s="225"/>
      <c r="B67" s="244" t="e">
        <f>SUM(B64:B66)</f>
        <v>#REF!</v>
      </c>
    </row>
    <row r="68" spans="1:2" ht="20.100000000000001" customHeight="1" thickBot="1"/>
    <row r="69" spans="1:2" ht="20.100000000000001" customHeight="1">
      <c r="A69" s="584" t="s">
        <v>708</v>
      </c>
      <c r="B69" s="585"/>
    </row>
    <row r="70" spans="1:2" ht="20.100000000000001" customHeight="1">
      <c r="A70" s="223" t="s">
        <v>1026</v>
      </c>
      <c r="B70" s="242" t="e">
        <f>+B64</f>
        <v>#REF!</v>
      </c>
    </row>
    <row r="71" spans="1:2" ht="20.100000000000001" customHeight="1">
      <c r="A71" s="223" t="s">
        <v>709</v>
      </c>
      <c r="B71" s="242" t="e">
        <f>+ROUNDUP(#REF!*6-#REF!-#REF!,10)</f>
        <v>#REF!</v>
      </c>
    </row>
    <row r="72" spans="1:2" ht="20.100000000000001" customHeight="1">
      <c r="A72" s="223" t="s">
        <v>710</v>
      </c>
      <c r="B72" s="242">
        <v>1040</v>
      </c>
    </row>
    <row r="73" spans="1:2" ht="20.100000000000001" customHeight="1">
      <c r="A73" s="223" t="s">
        <v>711</v>
      </c>
      <c r="B73" s="242">
        <v>3700</v>
      </c>
    </row>
    <row r="74" spans="1:2" ht="20.100000000000001" customHeight="1">
      <c r="A74" s="223" t="s">
        <v>712</v>
      </c>
      <c r="B74" s="242" t="e">
        <f>+B25</f>
        <v>#REF!</v>
      </c>
    </row>
    <row r="75" spans="1:2" ht="20.100000000000001" customHeight="1">
      <c r="A75" s="223" t="s">
        <v>700</v>
      </c>
      <c r="B75" s="243" t="e">
        <f>+B65</f>
        <v>#REF!</v>
      </c>
    </row>
    <row r="76" spans="1:2" ht="20.100000000000001" customHeight="1" thickBot="1">
      <c r="A76" s="225"/>
      <c r="B76" s="244" t="e">
        <f>SUM(B70:B75)</f>
        <v>#REF!</v>
      </c>
    </row>
    <row r="77" spans="1:2" ht="20.100000000000001" customHeight="1" thickBot="1"/>
    <row r="78" spans="1:2" ht="20.100000000000001" customHeight="1">
      <c r="A78" s="584" t="s">
        <v>713</v>
      </c>
      <c r="B78" s="585"/>
    </row>
    <row r="79" spans="1:2" ht="20.100000000000001" customHeight="1">
      <c r="A79" s="223" t="s">
        <v>697</v>
      </c>
      <c r="B79" s="242" t="e">
        <f>+B70</f>
        <v>#REF!</v>
      </c>
    </row>
    <row r="80" spans="1:2" ht="20.100000000000001" customHeight="1">
      <c r="A80" s="223" t="s">
        <v>1029</v>
      </c>
      <c r="B80" s="242">
        <v>610</v>
      </c>
    </row>
    <row r="81" spans="1:2" ht="20.100000000000001" customHeight="1">
      <c r="A81" s="223" t="s">
        <v>714</v>
      </c>
      <c r="B81" s="242" t="e">
        <f>+B71</f>
        <v>#REF!</v>
      </c>
    </row>
    <row r="82" spans="1:2" ht="20.100000000000001" customHeight="1">
      <c r="A82" s="223" t="s">
        <v>710</v>
      </c>
      <c r="B82" s="242">
        <f>+B72</f>
        <v>1040</v>
      </c>
    </row>
    <row r="83" spans="1:2" ht="20.100000000000001" customHeight="1">
      <c r="A83" s="223" t="s">
        <v>712</v>
      </c>
      <c r="B83" s="242" t="e">
        <f>+B74</f>
        <v>#REF!</v>
      </c>
    </row>
    <row r="84" spans="1:2" ht="20.100000000000001" customHeight="1">
      <c r="A84" s="223" t="s">
        <v>1030</v>
      </c>
      <c r="B84" s="242">
        <f>+B73+B32</f>
        <v>5000</v>
      </c>
    </row>
    <row r="85" spans="1:2" ht="20.100000000000001" customHeight="1">
      <c r="A85" s="223" t="s">
        <v>715</v>
      </c>
      <c r="B85" s="243" t="e">
        <f>+#REF!</f>
        <v>#REF!</v>
      </c>
    </row>
    <row r="86" spans="1:2" ht="20.100000000000001" customHeight="1" thickBot="1">
      <c r="A86" s="225"/>
      <c r="B86" s="244" t="e">
        <f>SUM(B79:B85)</f>
        <v>#REF!</v>
      </c>
    </row>
    <row r="87" spans="1:2" ht="20.100000000000001" customHeight="1"/>
    <row r="89" spans="1:2">
      <c r="A89" t="str">
        <f>+A60</f>
        <v>Facade pricing July 2024</v>
      </c>
    </row>
    <row r="91" spans="1:2" ht="20.100000000000001" customHeight="1" thickBot="1"/>
    <row r="92" spans="1:2" ht="20.100000000000001" customHeight="1">
      <c r="A92" s="584" t="s">
        <v>716</v>
      </c>
      <c r="B92" s="585"/>
    </row>
    <row r="93" spans="1:2" ht="20.100000000000001" customHeight="1">
      <c r="A93" s="223" t="s">
        <v>717</v>
      </c>
      <c r="B93" s="242" t="s">
        <v>691</v>
      </c>
    </row>
    <row r="94" spans="1:2" ht="20.100000000000001" customHeight="1">
      <c r="A94" s="223" t="s">
        <v>718</v>
      </c>
      <c r="B94" s="243" t="s">
        <v>691</v>
      </c>
    </row>
    <row r="95" spans="1:2" ht="20.100000000000001" customHeight="1" thickBot="1">
      <c r="A95" s="225"/>
      <c r="B95" s="244">
        <f>SUM(B94:B94)</f>
        <v>0</v>
      </c>
    </row>
    <row r="96" spans="1:2" ht="20.100000000000001" customHeight="1" thickBot="1"/>
    <row r="97" spans="1:2" ht="20.100000000000001" customHeight="1">
      <c r="A97" s="584" t="s">
        <v>719</v>
      </c>
      <c r="B97" s="585"/>
    </row>
    <row r="98" spans="1:2" ht="20.100000000000001" customHeight="1">
      <c r="A98" s="223" t="s">
        <v>689</v>
      </c>
      <c r="B98" s="242">
        <v>1650</v>
      </c>
    </row>
    <row r="99" spans="1:2" ht="20.100000000000001" customHeight="1">
      <c r="A99" s="223" t="s">
        <v>1031</v>
      </c>
      <c r="B99" s="242">
        <v>6500</v>
      </c>
    </row>
    <row r="100" spans="1:2" ht="20.100000000000001" customHeight="1" thickBot="1">
      <c r="A100" s="225"/>
      <c r="B100" s="244">
        <f>SUM(B98:B99)</f>
        <v>8150</v>
      </c>
    </row>
    <row r="101" spans="1:2" ht="20.100000000000001" customHeight="1" thickBot="1"/>
    <row r="102" spans="1:2" ht="20.100000000000001" customHeight="1">
      <c r="A102" s="584" t="s">
        <v>720</v>
      </c>
      <c r="B102" s="585"/>
    </row>
    <row r="103" spans="1:2" ht="20.100000000000001" customHeight="1">
      <c r="A103" s="223" t="s">
        <v>697</v>
      </c>
      <c r="B103" s="242">
        <v>610</v>
      </c>
    </row>
    <row r="104" spans="1:2" ht="20.100000000000001" customHeight="1">
      <c r="A104" s="223" t="s">
        <v>1033</v>
      </c>
      <c r="B104" s="242">
        <f>470*2</f>
        <v>940</v>
      </c>
    </row>
    <row r="105" spans="1:2" ht="20.100000000000001" customHeight="1">
      <c r="A105" s="223" t="s">
        <v>1032</v>
      </c>
      <c r="B105" s="242">
        <v>1950</v>
      </c>
    </row>
    <row r="106" spans="1:2" ht="20.100000000000001" customHeight="1">
      <c r="A106" s="223" t="s">
        <v>1031</v>
      </c>
      <c r="B106" s="242">
        <f>+B47</f>
        <v>6500</v>
      </c>
    </row>
    <row r="107" spans="1:2" ht="20.100000000000001" customHeight="1">
      <c r="A107" s="223" t="s">
        <v>721</v>
      </c>
      <c r="B107" s="242" t="e">
        <f>+(#REF!*30)+#REF!+#REF!*2+#REF!</f>
        <v>#REF!</v>
      </c>
    </row>
    <row r="108" spans="1:2" ht="20.100000000000001" customHeight="1">
      <c r="A108" s="223" t="s">
        <v>722</v>
      </c>
      <c r="B108" s="243">
        <v>3300</v>
      </c>
    </row>
    <row r="109" spans="1:2" ht="20.100000000000001" customHeight="1" thickBot="1">
      <c r="A109" s="225"/>
      <c r="B109" s="244" t="e">
        <f>SUM(B103:B108)</f>
        <v>#REF!</v>
      </c>
    </row>
    <row r="110" spans="1:2" ht="20.100000000000001" customHeight="1" thickBot="1"/>
    <row r="111" spans="1:2" ht="20.100000000000001" customHeight="1">
      <c r="A111" s="584" t="s">
        <v>723</v>
      </c>
      <c r="B111" s="585"/>
    </row>
    <row r="112" spans="1:2" ht="20.100000000000001" customHeight="1">
      <c r="A112" s="223" t="s">
        <v>1026</v>
      </c>
      <c r="B112" s="242">
        <v>1650</v>
      </c>
    </row>
    <row r="113" spans="1:2" ht="20.100000000000001" customHeight="1">
      <c r="A113" s="223" t="s">
        <v>1043</v>
      </c>
      <c r="B113" s="242">
        <v>9500</v>
      </c>
    </row>
    <row r="114" spans="1:2" ht="20.100000000000001" customHeight="1">
      <c r="A114" s="223" t="s">
        <v>707</v>
      </c>
      <c r="B114" s="242">
        <v>175</v>
      </c>
    </row>
    <row r="115" spans="1:2" ht="20.100000000000001" customHeight="1">
      <c r="A115" s="223" t="s">
        <v>721</v>
      </c>
      <c r="B115" s="242" t="e">
        <f>+B107</f>
        <v>#REF!</v>
      </c>
    </row>
    <row r="116" spans="1:2" ht="20.100000000000001" customHeight="1" thickBot="1">
      <c r="A116" s="225"/>
      <c r="B116" s="244" t="e">
        <f>SUM(B112:B115)</f>
        <v>#REF!</v>
      </c>
    </row>
    <row r="118" spans="1:2">
      <c r="A118" t="str">
        <f>+A89</f>
        <v>Facade pricing July 2024</v>
      </c>
    </row>
    <row r="120" spans="1:2" ht="20.100000000000001" customHeight="1" thickBot="1"/>
    <row r="121" spans="1:2" ht="20.100000000000001" customHeight="1">
      <c r="A121" s="584" t="s">
        <v>724</v>
      </c>
      <c r="B121" s="585"/>
    </row>
    <row r="122" spans="1:2" ht="20.100000000000001" customHeight="1">
      <c r="A122" s="223" t="s">
        <v>689</v>
      </c>
      <c r="B122" s="242">
        <v>1115</v>
      </c>
    </row>
    <row r="123" spans="1:2" ht="20.100000000000001" customHeight="1" thickBot="1">
      <c r="A123" s="225"/>
      <c r="B123" s="244">
        <f>SUM(B122:B122)</f>
        <v>1115</v>
      </c>
    </row>
    <row r="124" spans="1:2" ht="20.100000000000001" customHeight="1" thickBot="1"/>
    <row r="125" spans="1:2" ht="20.100000000000001" customHeight="1">
      <c r="A125" s="584" t="s">
        <v>725</v>
      </c>
      <c r="B125" s="585"/>
    </row>
    <row r="126" spans="1:2" ht="20.100000000000001" customHeight="1">
      <c r="A126" s="223" t="s">
        <v>1026</v>
      </c>
      <c r="B126" s="242">
        <v>2490</v>
      </c>
    </row>
    <row r="127" spans="1:2" ht="20.100000000000001" customHeight="1">
      <c r="A127" s="223" t="s">
        <v>727</v>
      </c>
      <c r="B127" s="242">
        <v>1470</v>
      </c>
    </row>
    <row r="128" spans="1:2" ht="20.100000000000001" customHeight="1">
      <c r="A128" s="223" t="s">
        <v>1034</v>
      </c>
      <c r="B128" s="242">
        <v>8200</v>
      </c>
    </row>
    <row r="129" spans="1:2" ht="20.100000000000001" customHeight="1">
      <c r="A129" s="223" t="s">
        <v>700</v>
      </c>
      <c r="B129" s="243">
        <v>4250</v>
      </c>
    </row>
    <row r="130" spans="1:2" ht="20.100000000000001" customHeight="1" thickBot="1">
      <c r="A130" s="225"/>
      <c r="B130" s="244">
        <f>SUM(B126:B129)</f>
        <v>16410</v>
      </c>
    </row>
    <row r="131" spans="1:2" ht="20.100000000000001" customHeight="1" thickBot="1"/>
    <row r="132" spans="1:2" ht="20.100000000000001" customHeight="1">
      <c r="A132" s="584" t="s">
        <v>728</v>
      </c>
      <c r="B132" s="585"/>
    </row>
    <row r="133" spans="1:2" ht="20.100000000000001" customHeight="1">
      <c r="A133" s="223" t="s">
        <v>1026</v>
      </c>
      <c r="B133" s="242">
        <v>2490</v>
      </c>
    </row>
    <row r="134" spans="1:2" ht="20.100000000000001" customHeight="1">
      <c r="A134" s="223" t="s">
        <v>729</v>
      </c>
      <c r="B134" s="242">
        <v>1980</v>
      </c>
    </row>
    <row r="135" spans="1:2" ht="20.100000000000001" customHeight="1">
      <c r="A135" s="223" t="s">
        <v>730</v>
      </c>
      <c r="B135" s="242" t="e">
        <f>+B115</f>
        <v>#REF!</v>
      </c>
    </row>
    <row r="136" spans="1:2" ht="20.100000000000001" customHeight="1">
      <c r="A136" s="223" t="s">
        <v>731</v>
      </c>
      <c r="B136" s="242" t="s">
        <v>691</v>
      </c>
    </row>
    <row r="137" spans="1:2" ht="20.100000000000001" customHeight="1">
      <c r="A137" s="223" t="s">
        <v>732</v>
      </c>
      <c r="B137" s="242">
        <v>13200</v>
      </c>
    </row>
    <row r="138" spans="1:2" ht="20.100000000000001" customHeight="1">
      <c r="A138" s="223" t="s">
        <v>1024</v>
      </c>
      <c r="B138" s="242" t="s">
        <v>691</v>
      </c>
    </row>
    <row r="139" spans="1:2" ht="20.100000000000001" customHeight="1">
      <c r="A139" s="223" t="s">
        <v>733</v>
      </c>
      <c r="B139" s="242">
        <v>1000</v>
      </c>
    </row>
    <row r="140" spans="1:2" ht="20.100000000000001" customHeight="1">
      <c r="A140" s="223" t="s">
        <v>700</v>
      </c>
      <c r="B140" s="242">
        <v>4200</v>
      </c>
    </row>
    <row r="141" spans="1:2" ht="20.100000000000001" customHeight="1">
      <c r="A141" s="223" t="s">
        <v>734</v>
      </c>
      <c r="B141" s="243">
        <v>5000</v>
      </c>
    </row>
    <row r="142" spans="1:2" ht="20.100000000000001" customHeight="1" thickBot="1">
      <c r="A142" s="225"/>
      <c r="B142" s="244" t="e">
        <f>SUM(B133:B141)</f>
        <v>#REF!</v>
      </c>
    </row>
    <row r="144" spans="1:2">
      <c r="A144" t="str">
        <f>+A118</f>
        <v>Facade pricing July 2024</v>
      </c>
    </row>
    <row r="146" spans="1:2" ht="20.100000000000001" customHeight="1" thickBot="1"/>
    <row r="147" spans="1:2" ht="20.100000000000001" customHeight="1">
      <c r="A147" s="584" t="s">
        <v>735</v>
      </c>
      <c r="B147" s="585"/>
    </row>
    <row r="148" spans="1:2" ht="20.100000000000001" customHeight="1">
      <c r="A148" s="223" t="s">
        <v>717</v>
      </c>
      <c r="B148" s="242" t="s">
        <v>691</v>
      </c>
    </row>
    <row r="149" spans="1:2" ht="20.100000000000001" customHeight="1">
      <c r="A149" s="223" t="s">
        <v>736</v>
      </c>
      <c r="B149" s="243" t="s">
        <v>691</v>
      </c>
    </row>
    <row r="150" spans="1:2" ht="20.100000000000001" customHeight="1" thickBot="1">
      <c r="A150" s="225"/>
      <c r="B150" s="244">
        <f>SUM(B148:B149)</f>
        <v>0</v>
      </c>
    </row>
    <row r="151" spans="1:2" ht="20.100000000000001" customHeight="1" thickBot="1"/>
    <row r="152" spans="1:2" ht="20.100000000000001" customHeight="1">
      <c r="A152" s="584" t="s">
        <v>737</v>
      </c>
      <c r="B152" s="585"/>
    </row>
    <row r="153" spans="1:2" ht="20.100000000000001" customHeight="1">
      <c r="A153" s="223" t="s">
        <v>1026</v>
      </c>
      <c r="B153" s="242">
        <v>2490</v>
      </c>
    </row>
    <row r="154" spans="1:2" ht="20.100000000000001" customHeight="1">
      <c r="A154" s="223" t="s">
        <v>1035</v>
      </c>
      <c r="B154" s="242">
        <v>6100</v>
      </c>
    </row>
    <row r="155" spans="1:2" ht="20.100000000000001" customHeight="1" thickBot="1">
      <c r="A155" s="225"/>
      <c r="B155" s="244">
        <f>SUM(B153:B154)</f>
        <v>8590</v>
      </c>
    </row>
    <row r="156" spans="1:2" ht="20.100000000000001" customHeight="1" thickBot="1"/>
    <row r="157" spans="1:2" ht="20.100000000000001" customHeight="1">
      <c r="A157" s="584" t="s">
        <v>738</v>
      </c>
      <c r="B157" s="585"/>
    </row>
    <row r="158" spans="1:2" ht="20.100000000000001" customHeight="1">
      <c r="A158" s="223" t="s">
        <v>739</v>
      </c>
      <c r="B158" s="242">
        <v>1200</v>
      </c>
    </row>
    <row r="159" spans="1:2" ht="20.100000000000001" customHeight="1">
      <c r="A159" s="223" t="s">
        <v>740</v>
      </c>
      <c r="B159" s="242">
        <v>610</v>
      </c>
    </row>
    <row r="160" spans="1:2" ht="20.100000000000001" customHeight="1">
      <c r="A160" s="223" t="s">
        <v>741</v>
      </c>
      <c r="B160" s="242">
        <v>950</v>
      </c>
    </row>
    <row r="161" spans="1:2" ht="20.100000000000001" customHeight="1">
      <c r="A161" s="223" t="s">
        <v>742</v>
      </c>
      <c r="B161" s="242">
        <v>700</v>
      </c>
    </row>
    <row r="162" spans="1:2" ht="20.100000000000001" customHeight="1">
      <c r="A162" s="223" t="s">
        <v>743</v>
      </c>
      <c r="B162" s="242">
        <v>1500</v>
      </c>
    </row>
    <row r="163" spans="1:2" ht="20.100000000000001" customHeight="1">
      <c r="A163" s="223" t="s">
        <v>744</v>
      </c>
      <c r="B163" s="242" t="e">
        <f>+(30*#REF!)+(#REF!*2)+(#REF!*4)+(#REF!*2)</f>
        <v>#REF!</v>
      </c>
    </row>
    <row r="164" spans="1:2" ht="20.100000000000001" customHeight="1">
      <c r="A164" s="223" t="s">
        <v>745</v>
      </c>
      <c r="B164" s="242">
        <v>3000</v>
      </c>
    </row>
    <row r="165" spans="1:2" ht="20.100000000000001" customHeight="1">
      <c r="A165" s="223" t="s">
        <v>527</v>
      </c>
      <c r="B165" s="243">
        <v>3300</v>
      </c>
    </row>
    <row r="166" spans="1:2" ht="20.100000000000001" customHeight="1" thickBot="1">
      <c r="A166" s="225"/>
      <c r="B166" s="244" t="e">
        <f>SUM(B158:B165)</f>
        <v>#REF!</v>
      </c>
    </row>
    <row r="169" spans="1:2">
      <c r="A169" t="str">
        <f>+A144</f>
        <v>Facade pricing July 2024</v>
      </c>
    </row>
    <row r="170" spans="1:2" ht="20.100000000000001" customHeight="1" thickBot="1"/>
    <row r="171" spans="1:2" ht="20.100000000000001" customHeight="1">
      <c r="A171" s="584" t="s">
        <v>746</v>
      </c>
      <c r="B171" s="585"/>
    </row>
    <row r="172" spans="1:2" ht="20.100000000000001" customHeight="1">
      <c r="A172" s="223" t="s">
        <v>700</v>
      </c>
      <c r="B172" s="242">
        <v>950</v>
      </c>
    </row>
    <row r="173" spans="1:2" ht="20.100000000000001" customHeight="1">
      <c r="A173" s="223" t="s">
        <v>747</v>
      </c>
      <c r="B173" s="242">
        <v>16800</v>
      </c>
    </row>
    <row r="174" spans="1:2" ht="20.100000000000001" customHeight="1">
      <c r="A174" s="223" t="s">
        <v>748</v>
      </c>
      <c r="B174" s="243">
        <v>3200</v>
      </c>
    </row>
    <row r="175" spans="1:2" ht="20.100000000000001" customHeight="1" thickBot="1">
      <c r="A175" s="225"/>
      <c r="B175" s="244">
        <f>SUM(B172:B174)</f>
        <v>20950</v>
      </c>
    </row>
    <row r="176" spans="1:2" ht="20.100000000000001" customHeight="1" thickBot="1"/>
    <row r="177" spans="1:2" ht="20.100000000000001" customHeight="1">
      <c r="A177" s="584" t="s">
        <v>749</v>
      </c>
      <c r="B177" s="585"/>
    </row>
    <row r="178" spans="1:2" ht="20.100000000000001" customHeight="1">
      <c r="A178" s="223" t="s">
        <v>750</v>
      </c>
      <c r="B178" s="242">
        <v>2200</v>
      </c>
    </row>
    <row r="179" spans="1:2" ht="20.100000000000001" customHeight="1">
      <c r="A179" s="223" t="s">
        <v>751</v>
      </c>
      <c r="B179" s="243">
        <f>+B23</f>
        <v>5500</v>
      </c>
    </row>
    <row r="180" spans="1:2" ht="20.100000000000001" customHeight="1" thickBot="1">
      <c r="A180" s="225"/>
      <c r="B180" s="244">
        <f>SUM(B178:B179)</f>
        <v>7700</v>
      </c>
    </row>
    <row r="181" spans="1:2" ht="20.100000000000001" customHeight="1" thickBot="1"/>
    <row r="182" spans="1:2" ht="20.100000000000001" customHeight="1">
      <c r="A182" s="584" t="s">
        <v>752</v>
      </c>
      <c r="B182" s="585"/>
    </row>
    <row r="183" spans="1:2" ht="20.100000000000001" customHeight="1">
      <c r="A183" s="223" t="s">
        <v>753</v>
      </c>
      <c r="B183" s="242">
        <v>5800</v>
      </c>
    </row>
    <row r="184" spans="1:2" ht="20.100000000000001" customHeight="1">
      <c r="A184" s="223" t="s">
        <v>754</v>
      </c>
      <c r="B184" s="242" t="e">
        <f>25*3*#REF!+6*#REF!+5*#REF!+3*#REF!</f>
        <v>#REF!</v>
      </c>
    </row>
    <row r="185" spans="1:2" ht="20.100000000000001" customHeight="1">
      <c r="A185" s="223" t="s">
        <v>527</v>
      </c>
      <c r="B185" s="242">
        <v>3300</v>
      </c>
    </row>
    <row r="186" spans="1:2" ht="20.100000000000001" customHeight="1">
      <c r="A186" s="223" t="s">
        <v>702</v>
      </c>
      <c r="B186" s="242">
        <v>350</v>
      </c>
    </row>
    <row r="187" spans="1:2" ht="20.100000000000001" customHeight="1">
      <c r="A187" s="223" t="s">
        <v>123</v>
      </c>
      <c r="B187" s="242">
        <v>800</v>
      </c>
    </row>
    <row r="188" spans="1:2" ht="20.100000000000001" customHeight="1">
      <c r="A188" s="223" t="s">
        <v>697</v>
      </c>
      <c r="B188" s="243" t="e">
        <f>+((#REF!*4-#REF!*4)+#REF!-#REF!)</f>
        <v>#REF!</v>
      </c>
    </row>
    <row r="189" spans="1:2" ht="20.100000000000001" customHeight="1" thickBot="1">
      <c r="A189" s="225"/>
      <c r="B189" s="244" t="e">
        <f>SUM(B183:B188)</f>
        <v>#REF!</v>
      </c>
    </row>
    <row r="190" spans="1:2" ht="20.100000000000001" customHeight="1" thickBot="1"/>
    <row r="191" spans="1:2" ht="20.100000000000001" customHeight="1">
      <c r="A191" s="584" t="s">
        <v>755</v>
      </c>
      <c r="B191" s="585"/>
    </row>
    <row r="192" spans="1:2" ht="20.100000000000001" customHeight="1">
      <c r="A192" s="223" t="s">
        <v>756</v>
      </c>
      <c r="B192" s="242">
        <v>800</v>
      </c>
    </row>
    <row r="193" spans="1:7" ht="20.100000000000001" customHeight="1">
      <c r="A193" s="223" t="s">
        <v>1035</v>
      </c>
      <c r="B193" s="242">
        <v>5900</v>
      </c>
    </row>
    <row r="194" spans="1:7" ht="20.100000000000001" customHeight="1">
      <c r="A194" s="223" t="s">
        <v>527</v>
      </c>
      <c r="B194" s="242">
        <v>3300</v>
      </c>
    </row>
    <row r="195" spans="1:7" ht="20.100000000000001" customHeight="1">
      <c r="A195" s="223" t="s">
        <v>1036</v>
      </c>
      <c r="B195" s="242">
        <f>900*2</f>
        <v>1800</v>
      </c>
    </row>
    <row r="196" spans="1:7" ht="20.100000000000001" customHeight="1">
      <c r="A196" s="223" t="s">
        <v>754</v>
      </c>
      <c r="B196" s="257" t="e">
        <f>+B135</f>
        <v>#REF!</v>
      </c>
    </row>
    <row r="197" spans="1:7" ht="20.100000000000001" customHeight="1">
      <c r="A197" s="223" t="s">
        <v>726</v>
      </c>
      <c r="B197" s="243" t="e">
        <f>+#REF!*4-#REF!*4+#REF!-#REF!</f>
        <v>#REF!</v>
      </c>
    </row>
    <row r="198" spans="1:7" ht="18" customHeight="1" thickBot="1">
      <c r="A198" s="225"/>
      <c r="B198" s="244" t="e">
        <f>SUM(B192:B197)</f>
        <v>#REF!</v>
      </c>
    </row>
    <row r="201" spans="1:7">
      <c r="A201" t="str">
        <f>+A169</f>
        <v>Facade pricing July 2024</v>
      </c>
    </row>
    <row r="202" spans="1:7" ht="15" thickBot="1"/>
    <row r="203" spans="1:7" ht="20.100000000000001" customHeight="1">
      <c r="A203" s="584" t="s">
        <v>812</v>
      </c>
      <c r="B203" s="585"/>
    </row>
    <row r="204" spans="1:7" ht="20.100000000000001" customHeight="1">
      <c r="A204" s="223" t="s">
        <v>1037</v>
      </c>
      <c r="B204" s="242" t="e">
        <f>+'Sandown 32 Display'!D203+'Sandown 32 Display'!D204</f>
        <v>#REF!</v>
      </c>
    </row>
    <row r="205" spans="1:7" ht="20.100000000000001" customHeight="1">
      <c r="A205" s="223" t="s">
        <v>813</v>
      </c>
      <c r="B205" s="242" t="e">
        <f>+'Sandown 32 Display'!D205</f>
        <v>#REF!</v>
      </c>
    </row>
    <row r="206" spans="1:7" ht="20.100000000000001" customHeight="1">
      <c r="A206" s="223" t="s">
        <v>814</v>
      </c>
      <c r="B206" s="242">
        <f>+'Sandown 32 Display'!D207</f>
        <v>3900</v>
      </c>
    </row>
    <row r="207" spans="1:7" ht="20.100000000000001" customHeight="1">
      <c r="A207" s="223" t="s">
        <v>697</v>
      </c>
      <c r="B207" s="243" t="e">
        <f>+SUM('Sandown 32 Display'!D210:D214)</f>
        <v>#REF!</v>
      </c>
      <c r="G207" s="258"/>
    </row>
    <row r="208" spans="1:7" ht="20.100000000000001" customHeight="1" thickBot="1">
      <c r="A208" s="225"/>
      <c r="B208" s="244" t="e">
        <f>SUM(B204:B207)</f>
        <v>#REF!</v>
      </c>
    </row>
    <row r="210" spans="1:2">
      <c r="A210" t="str">
        <f>+A169</f>
        <v>Facade pricing July 2024</v>
      </c>
    </row>
    <row r="212" spans="1:2" ht="20.100000000000001" customHeight="1" thickBot="1">
      <c r="B212" s="255"/>
    </row>
    <row r="213" spans="1:2" ht="20.100000000000001" customHeight="1">
      <c r="A213" s="584" t="s">
        <v>815</v>
      </c>
      <c r="B213" s="585"/>
    </row>
    <row r="214" spans="1:2" ht="20.100000000000001" customHeight="1">
      <c r="A214" s="223" t="s">
        <v>697</v>
      </c>
      <c r="B214" s="242" t="e">
        <f>CEILING(1.5*(#REF!-#REF!),10)</f>
        <v>#REF!</v>
      </c>
    </row>
    <row r="215" spans="1:2" ht="20.100000000000001" customHeight="1">
      <c r="A215" s="223" t="s">
        <v>712</v>
      </c>
      <c r="B215" s="242" t="e">
        <f>+CEILING((#REF!*30+#REF!+2*#REF!+#REF!),50)</f>
        <v>#REF!</v>
      </c>
    </row>
    <row r="216" spans="1:2" ht="20.100000000000001" customHeight="1">
      <c r="A216" s="223" t="s">
        <v>819</v>
      </c>
      <c r="B216" s="242">
        <f>+B183</f>
        <v>5800</v>
      </c>
    </row>
    <row r="217" spans="1:2" ht="20.100000000000001" customHeight="1">
      <c r="A217" s="223" t="s">
        <v>820</v>
      </c>
      <c r="B217" s="242" t="e">
        <f>+#REF!*2-#REF!</f>
        <v>#REF!</v>
      </c>
    </row>
    <row r="218" spans="1:2" ht="20.100000000000001" customHeight="1" thickBot="1">
      <c r="A218" s="225"/>
      <c r="B218" s="256" t="e">
        <f>SUM(B214:B217)</f>
        <v>#REF!</v>
      </c>
    </row>
    <row r="219" spans="1:2" ht="20.100000000000001" customHeight="1" thickBot="1">
      <c r="B219" s="255"/>
    </row>
    <row r="220" spans="1:2" ht="20.100000000000001" customHeight="1">
      <c r="A220" s="584" t="s">
        <v>818</v>
      </c>
      <c r="B220" s="585"/>
    </row>
    <row r="221" spans="1:2" ht="20.100000000000001" customHeight="1">
      <c r="A221" s="223" t="s">
        <v>697</v>
      </c>
      <c r="B221" s="242" t="e">
        <f>+B214</f>
        <v>#REF!</v>
      </c>
    </row>
    <row r="222" spans="1:2" ht="20.100000000000001" customHeight="1">
      <c r="A222" s="223" t="s">
        <v>712</v>
      </c>
      <c r="B222" s="242" t="e">
        <f>+B215</f>
        <v>#REF!</v>
      </c>
    </row>
    <row r="223" spans="1:2" ht="20.100000000000001" customHeight="1">
      <c r="A223" s="223" t="s">
        <v>819</v>
      </c>
      <c r="B223" s="242">
        <f>+B216</f>
        <v>5800</v>
      </c>
    </row>
    <row r="224" spans="1:2" ht="20.100000000000001" customHeight="1">
      <c r="A224" s="223" t="s">
        <v>820</v>
      </c>
      <c r="B224" s="242" t="e">
        <f>+B217</f>
        <v>#REF!</v>
      </c>
    </row>
    <row r="225" spans="1:2" ht="20.100000000000001" customHeight="1">
      <c r="A225" s="223" t="s">
        <v>821</v>
      </c>
      <c r="B225" s="242">
        <v>800</v>
      </c>
    </row>
    <row r="226" spans="1:2" ht="20.100000000000001" customHeight="1" thickBot="1">
      <c r="A226" s="225"/>
      <c r="B226" s="256" t="e">
        <f>SUM(B221:B225)</f>
        <v>#REF!</v>
      </c>
    </row>
    <row r="227" spans="1:2" ht="20.100000000000001" customHeight="1" thickBot="1">
      <c r="B227" s="255"/>
    </row>
    <row r="228" spans="1:2" ht="20.100000000000001" customHeight="1">
      <c r="A228" s="584" t="s">
        <v>822</v>
      </c>
      <c r="B228" s="585"/>
    </row>
    <row r="229" spans="1:2" ht="20.100000000000001" customHeight="1">
      <c r="A229" s="223" t="s">
        <v>697</v>
      </c>
      <c r="B229" s="242" t="e">
        <f>+B221</f>
        <v>#REF!</v>
      </c>
    </row>
    <row r="230" spans="1:2" ht="20.100000000000001" customHeight="1">
      <c r="A230" s="223" t="s">
        <v>712</v>
      </c>
      <c r="B230" s="242" t="e">
        <f>+B222</f>
        <v>#REF!</v>
      </c>
    </row>
    <row r="231" spans="1:2" ht="20.100000000000001" customHeight="1">
      <c r="A231" s="223" t="s">
        <v>819</v>
      </c>
      <c r="B231" s="242">
        <f>+B223</f>
        <v>5800</v>
      </c>
    </row>
    <row r="232" spans="1:2" ht="20.100000000000001" customHeight="1">
      <c r="A232" s="223" t="s">
        <v>820</v>
      </c>
      <c r="B232" s="242" t="e">
        <f>+B224</f>
        <v>#REF!</v>
      </c>
    </row>
    <row r="233" spans="1:2" ht="20.100000000000001" customHeight="1">
      <c r="A233" s="223" t="s">
        <v>823</v>
      </c>
      <c r="B233" s="242">
        <v>5500</v>
      </c>
    </row>
    <row r="234" spans="1:2" ht="20.100000000000001" customHeight="1" thickBot="1">
      <c r="A234" s="225"/>
      <c r="B234" s="256" t="e">
        <f>SUM(B229:B233)</f>
        <v>#REF!</v>
      </c>
    </row>
    <row r="235" spans="1:2" ht="20.100000000000001" customHeight="1" thickBot="1">
      <c r="B235" s="255"/>
    </row>
    <row r="236" spans="1:2" ht="20.100000000000001" customHeight="1">
      <c r="A236" s="584" t="s">
        <v>816</v>
      </c>
      <c r="B236" s="585"/>
    </row>
    <row r="237" spans="1:2" ht="20.100000000000001" customHeight="1">
      <c r="A237" s="223" t="s">
        <v>697</v>
      </c>
      <c r="B237" s="242" t="e">
        <f>+B229</f>
        <v>#REF!</v>
      </c>
    </row>
    <row r="238" spans="1:2" ht="20.100000000000001" customHeight="1">
      <c r="A238" s="223" t="s">
        <v>709</v>
      </c>
      <c r="B238" s="242">
        <v>360</v>
      </c>
    </row>
    <row r="239" spans="1:2" ht="20.100000000000001" customHeight="1">
      <c r="A239" s="223" t="s">
        <v>710</v>
      </c>
      <c r="B239" s="242">
        <v>950</v>
      </c>
    </row>
    <row r="240" spans="1:2" ht="20.100000000000001" customHeight="1">
      <c r="A240" s="223" t="s">
        <v>711</v>
      </c>
      <c r="B240" s="257">
        <f>+B73</f>
        <v>3700</v>
      </c>
    </row>
    <row r="241" spans="1:8" ht="20.100000000000001" customHeight="1">
      <c r="A241" s="223" t="s">
        <v>712</v>
      </c>
      <c r="B241" s="242" t="e">
        <f>+CEILING((30*#REF!+#REF!+#REF!+#REF!+#REF!),50)</f>
        <v>#REF!</v>
      </c>
    </row>
    <row r="242" spans="1:8" ht="20.100000000000001" customHeight="1">
      <c r="A242" s="223" t="s">
        <v>700</v>
      </c>
      <c r="B242" s="243" t="e">
        <f>+B75</f>
        <v>#REF!</v>
      </c>
      <c r="H242" s="259"/>
    </row>
    <row r="243" spans="1:8" ht="20.100000000000001" customHeight="1" thickBot="1">
      <c r="A243" s="225"/>
      <c r="B243" s="244" t="e">
        <f>SUM(B237:B242)</f>
        <v>#REF!</v>
      </c>
    </row>
    <row r="244" spans="1:8" ht="20.100000000000001" customHeight="1" thickBot="1"/>
    <row r="245" spans="1:8" ht="20.100000000000001" customHeight="1">
      <c r="A245" s="584" t="s">
        <v>817</v>
      </c>
      <c r="B245" s="585"/>
    </row>
    <row r="246" spans="1:8" ht="20.100000000000001" customHeight="1" thickBot="1">
      <c r="A246" s="225" t="s">
        <v>828</v>
      </c>
      <c r="B246" s="244" t="e">
        <f>+B234</f>
        <v>#REF!</v>
      </c>
    </row>
    <row r="248" spans="1:8">
      <c r="A248" t="str">
        <f>+A210</f>
        <v>Facade pricing July 2024</v>
      </c>
    </row>
    <row r="250" spans="1:8" ht="20.100000000000001" customHeight="1" thickBot="1"/>
    <row r="251" spans="1:8" ht="20.100000000000001" customHeight="1">
      <c r="A251" s="584" t="s">
        <v>829</v>
      </c>
      <c r="B251" s="585"/>
    </row>
    <row r="252" spans="1:8" ht="20.100000000000001" customHeight="1">
      <c r="A252" s="223" t="s">
        <v>700</v>
      </c>
      <c r="B252" s="257" t="e">
        <f>CEILING((1.8*#REF!+1.6*#REF!+1.6*#REF!+0.8*#REF!+1.6*#REF!),50)</f>
        <v>#REF!</v>
      </c>
    </row>
    <row r="253" spans="1:8" ht="20.100000000000001" customHeight="1">
      <c r="A253" s="223" t="s">
        <v>1038</v>
      </c>
      <c r="B253" s="257">
        <f>+'Inglewood 42 Display'!D205</f>
        <v>5200</v>
      </c>
    </row>
    <row r="254" spans="1:8" ht="20.100000000000001" customHeight="1">
      <c r="A254" s="223" t="s">
        <v>830</v>
      </c>
      <c r="B254" s="257" t="e">
        <f>CEILING(((11+10)*#REF!+2*#REF!+6*#REF!),50)</f>
        <v>#REF!</v>
      </c>
    </row>
    <row r="255" spans="1:8" ht="20.100000000000001" customHeight="1">
      <c r="A255" s="223" t="s">
        <v>827</v>
      </c>
      <c r="B255" s="257" t="e">
        <f>CEILING((3*(#REF!-#REF!)+(#REF!-#REF!)),50)</f>
        <v>#REF!</v>
      </c>
    </row>
    <row r="256" spans="1:8" ht="20.100000000000001" customHeight="1" thickBot="1">
      <c r="A256" s="225"/>
      <c r="B256" s="256" t="e">
        <f>SUM(B252:B255)</f>
        <v>#REF!</v>
      </c>
    </row>
    <row r="257" spans="1:2" ht="20.100000000000001" customHeight="1" thickBot="1"/>
    <row r="258" spans="1:2" ht="20.100000000000001" customHeight="1">
      <c r="A258" s="584" t="s">
        <v>831</v>
      </c>
      <c r="B258" s="585"/>
    </row>
    <row r="259" spans="1:2" ht="20.100000000000001" customHeight="1">
      <c r="A259" s="223" t="s">
        <v>700</v>
      </c>
      <c r="B259" s="257" t="e">
        <f>+B252</f>
        <v>#REF!</v>
      </c>
    </row>
    <row r="260" spans="1:2" ht="20.100000000000001" customHeight="1">
      <c r="A260" s="223" t="s">
        <v>1038</v>
      </c>
      <c r="B260" s="257">
        <f>+B253</f>
        <v>5200</v>
      </c>
    </row>
    <row r="261" spans="1:2" ht="20.100000000000001" customHeight="1">
      <c r="A261" s="223" t="s">
        <v>830</v>
      </c>
      <c r="B261" s="257" t="e">
        <f>CEILING(((12+10)*#REF!+2*#REF!+6*#REF!),50)</f>
        <v>#REF!</v>
      </c>
    </row>
    <row r="262" spans="1:2" ht="20.100000000000001" customHeight="1">
      <c r="A262" s="223" t="s">
        <v>827</v>
      </c>
      <c r="B262" s="257" t="e">
        <f>CEILING((3*(#REF!-#REF!)+(#REF!-#REF!)+(#REF!-#REF!)),50)</f>
        <v>#REF!</v>
      </c>
    </row>
    <row r="263" spans="1:2" ht="20.100000000000001" customHeight="1" thickBot="1">
      <c r="A263" s="225"/>
      <c r="B263" s="256" t="e">
        <f>SUM(B259:B262)</f>
        <v>#REF!</v>
      </c>
    </row>
    <row r="264" spans="1:2" ht="20.100000000000001" customHeight="1" thickBot="1"/>
    <row r="265" spans="1:2" ht="20.100000000000001" customHeight="1">
      <c r="A265" s="584" t="s">
        <v>832</v>
      </c>
      <c r="B265" s="585"/>
    </row>
    <row r="266" spans="1:2" ht="20.100000000000001" customHeight="1">
      <c r="A266" s="223" t="s">
        <v>700</v>
      </c>
      <c r="B266" s="257" t="e">
        <f>+B259</f>
        <v>#REF!</v>
      </c>
    </row>
    <row r="267" spans="1:2" ht="20.100000000000001" customHeight="1">
      <c r="A267" s="223" t="s">
        <v>1038</v>
      </c>
      <c r="B267" s="257">
        <f>+B260</f>
        <v>5200</v>
      </c>
    </row>
    <row r="268" spans="1:2" ht="20.100000000000001" customHeight="1">
      <c r="A268" s="223" t="s">
        <v>830</v>
      </c>
      <c r="B268" s="257" t="e">
        <f>+B261</f>
        <v>#REF!</v>
      </c>
    </row>
    <row r="269" spans="1:2" ht="20.100000000000001" customHeight="1">
      <c r="A269" s="223" t="s">
        <v>827</v>
      </c>
      <c r="B269" s="257" t="e">
        <f>+B262</f>
        <v>#REF!</v>
      </c>
    </row>
    <row r="270" spans="1:2" ht="20.100000000000001" customHeight="1" thickBot="1">
      <c r="A270" s="225"/>
      <c r="B270" s="256" t="e">
        <f>SUM(B266:B269)</f>
        <v>#REF!</v>
      </c>
    </row>
    <row r="271" spans="1:2" ht="20.100000000000001" customHeight="1" thickBot="1"/>
    <row r="272" spans="1:2" ht="20.100000000000001" customHeight="1">
      <c r="A272" s="584" t="s">
        <v>833</v>
      </c>
      <c r="B272" s="585"/>
    </row>
    <row r="273" spans="1:2" ht="20.100000000000001" customHeight="1">
      <c r="A273" s="223" t="s">
        <v>700</v>
      </c>
      <c r="B273" s="257" t="e">
        <f>+CEILING((4.5*#REF!+2.4*#REF!+2.4*#REF!),50)</f>
        <v>#REF!</v>
      </c>
    </row>
    <row r="274" spans="1:2" ht="20.100000000000001" customHeight="1">
      <c r="A274" s="223" t="s">
        <v>1038</v>
      </c>
      <c r="B274" s="257">
        <f>+B267</f>
        <v>5200</v>
      </c>
    </row>
    <row r="275" spans="1:2" ht="20.100000000000001" customHeight="1">
      <c r="A275" s="223" t="s">
        <v>834</v>
      </c>
      <c r="B275" s="257" t="e">
        <f>+CEILING((34*#REF!+2*#REF!+2*#REF!+7*#REF!),50)</f>
        <v>#REF!</v>
      </c>
    </row>
    <row r="276" spans="1:2" ht="20.100000000000001" customHeight="1">
      <c r="A276" s="223" t="s">
        <v>827</v>
      </c>
      <c r="B276" s="257" t="e">
        <f>+CEILING((4*(#REF!-#REF!)+#REF!+#REF!-#REF!+#REF!-#REF!),50)</f>
        <v>#REF!</v>
      </c>
    </row>
    <row r="277" spans="1:2" ht="20.100000000000001" customHeight="1" thickBot="1">
      <c r="A277" s="225"/>
      <c r="B277" s="256" t="e">
        <f>SUM(B273:B276)</f>
        <v>#REF!</v>
      </c>
    </row>
    <row r="279" spans="1:2">
      <c r="A279" t="str">
        <f>+A248</f>
        <v>Facade pricing July 2024</v>
      </c>
    </row>
    <row r="281" spans="1:2" ht="20.100000000000001" customHeight="1" thickBot="1"/>
    <row r="282" spans="1:2" ht="20.100000000000001" customHeight="1">
      <c r="A282" s="584" t="s">
        <v>835</v>
      </c>
      <c r="B282" s="585"/>
    </row>
    <row r="283" spans="1:2" ht="20.100000000000001" customHeight="1">
      <c r="A283" s="223" t="s">
        <v>700</v>
      </c>
      <c r="B283" s="257" t="e">
        <f>+B273</f>
        <v>#REF!</v>
      </c>
    </row>
    <row r="284" spans="1:2" ht="20.100000000000001" customHeight="1">
      <c r="A284" s="223" t="s">
        <v>1038</v>
      </c>
      <c r="B284" s="257">
        <f>+B274</f>
        <v>5200</v>
      </c>
    </row>
    <row r="285" spans="1:2" ht="20.100000000000001" customHeight="1">
      <c r="A285" s="223" t="s">
        <v>836</v>
      </c>
      <c r="B285" s="257" t="e">
        <f>+B268</f>
        <v>#REF!</v>
      </c>
    </row>
    <row r="286" spans="1:2" ht="20.100000000000001" customHeight="1">
      <c r="A286" s="223" t="s">
        <v>827</v>
      </c>
      <c r="B286" s="257" t="e">
        <f>+CEILING((4*(#REF!-#REF!)+#REF!+#REF!-#REF!-#REF!+#REF!+#REF!),50)</f>
        <v>#REF!</v>
      </c>
    </row>
    <row r="287" spans="1:2" ht="20.100000000000001" customHeight="1" thickBot="1">
      <c r="A287" s="225"/>
      <c r="B287" s="256" t="e">
        <f>SUM(B283:B286)</f>
        <v>#REF!</v>
      </c>
    </row>
    <row r="288" spans="1:2" ht="20.100000000000001" customHeight="1" thickBot="1"/>
    <row r="289" spans="1:2" ht="20.100000000000001" customHeight="1">
      <c r="A289" s="584" t="s">
        <v>837</v>
      </c>
      <c r="B289" s="585"/>
    </row>
    <row r="290" spans="1:2" ht="20.100000000000001" customHeight="1">
      <c r="A290" s="223" t="s">
        <v>700</v>
      </c>
      <c r="B290" s="257" t="e">
        <f>+B273</f>
        <v>#REF!</v>
      </c>
    </row>
    <row r="291" spans="1:2" ht="20.100000000000001" customHeight="1">
      <c r="A291" s="223" t="s">
        <v>1038</v>
      </c>
      <c r="B291" s="257">
        <f>+B274</f>
        <v>5200</v>
      </c>
    </row>
    <row r="292" spans="1:2" ht="20.100000000000001" customHeight="1">
      <c r="A292" s="223" t="s">
        <v>836</v>
      </c>
      <c r="B292" s="257" t="e">
        <f>+B275</f>
        <v>#REF!</v>
      </c>
    </row>
    <row r="293" spans="1:2" ht="20.100000000000001" customHeight="1">
      <c r="A293" s="223" t="s">
        <v>827</v>
      </c>
      <c r="B293" s="257" t="e">
        <f>+B276</f>
        <v>#REF!</v>
      </c>
    </row>
    <row r="294" spans="1:2" ht="19.5" customHeight="1" thickBot="1">
      <c r="A294" s="225"/>
      <c r="B294" s="256" t="e">
        <f>SUM(B290:B293)</f>
        <v>#REF!</v>
      </c>
    </row>
    <row r="296" spans="1:2">
      <c r="A296" t="str">
        <f>+A279</f>
        <v>Facade pricing July 2024</v>
      </c>
    </row>
    <row r="298" spans="1:2" ht="20.100000000000001" customHeight="1" thickBot="1"/>
    <row r="299" spans="1:2" ht="20.100000000000001" customHeight="1">
      <c r="A299" s="584" t="s">
        <v>838</v>
      </c>
      <c r="B299" s="585"/>
    </row>
    <row r="300" spans="1:2" ht="20.100000000000001" customHeight="1">
      <c r="A300" s="223" t="s">
        <v>700</v>
      </c>
      <c r="B300" s="257" t="e">
        <f>+B252</f>
        <v>#REF!</v>
      </c>
    </row>
    <row r="301" spans="1:2" ht="20.100000000000001" customHeight="1">
      <c r="A301" s="223" t="s">
        <v>1038</v>
      </c>
      <c r="B301" s="257">
        <f>+B253</f>
        <v>5200</v>
      </c>
    </row>
    <row r="302" spans="1:2" ht="20.100000000000001" customHeight="1">
      <c r="A302" s="223" t="s">
        <v>830</v>
      </c>
      <c r="B302" s="257" t="e">
        <f>+B254</f>
        <v>#REF!</v>
      </c>
    </row>
    <row r="303" spans="1:2" ht="20.100000000000001" customHeight="1">
      <c r="A303" s="223" t="s">
        <v>827</v>
      </c>
      <c r="B303" s="257" t="e">
        <f>+B255</f>
        <v>#REF!</v>
      </c>
    </row>
    <row r="304" spans="1:2" ht="20.100000000000001" customHeight="1">
      <c r="A304" s="223" t="s">
        <v>839</v>
      </c>
      <c r="B304" s="257" t="e">
        <f>+CEILING((45*#REF!+3*#REF!+4*#REF!+4*#REF!),50)</f>
        <v>#REF!</v>
      </c>
    </row>
    <row r="305" spans="1:2" ht="20.100000000000001" customHeight="1" thickBot="1">
      <c r="A305" s="225"/>
      <c r="B305" s="256" t="e">
        <f>SUM(B300:B304)</f>
        <v>#REF!</v>
      </c>
    </row>
    <row r="306" spans="1:2" ht="20.100000000000001" customHeight="1" thickBot="1"/>
    <row r="307" spans="1:2" ht="20.100000000000001" customHeight="1">
      <c r="A307" s="584" t="s">
        <v>840</v>
      </c>
      <c r="B307" s="585"/>
    </row>
    <row r="308" spans="1:2" ht="20.100000000000001" customHeight="1">
      <c r="A308" s="223" t="s">
        <v>700</v>
      </c>
      <c r="B308" s="257" t="e">
        <f>+B259</f>
        <v>#REF!</v>
      </c>
    </row>
    <row r="309" spans="1:2" ht="20.100000000000001" customHeight="1">
      <c r="A309" s="223" t="s">
        <v>1038</v>
      </c>
      <c r="B309" s="257">
        <f>+B260</f>
        <v>5200</v>
      </c>
    </row>
    <row r="310" spans="1:2" ht="20.100000000000001" customHeight="1">
      <c r="A310" s="223" t="s">
        <v>830</v>
      </c>
      <c r="B310" s="257" t="e">
        <f>+B261</f>
        <v>#REF!</v>
      </c>
    </row>
    <row r="311" spans="1:2" ht="20.100000000000001" customHeight="1">
      <c r="A311" s="223" t="s">
        <v>827</v>
      </c>
      <c r="B311" s="257" t="e">
        <f>+B262</f>
        <v>#REF!</v>
      </c>
    </row>
    <row r="312" spans="1:2" ht="20.100000000000001" customHeight="1">
      <c r="A312" s="223" t="s">
        <v>839</v>
      </c>
      <c r="B312" s="257" t="e">
        <f>+B304</f>
        <v>#REF!</v>
      </c>
    </row>
    <row r="313" spans="1:2" ht="20.100000000000001" customHeight="1" thickBot="1">
      <c r="A313" s="225"/>
      <c r="B313" s="256" t="e">
        <f>SUM(B308:B312)</f>
        <v>#REF!</v>
      </c>
    </row>
    <row r="314" spans="1:2" ht="20.100000000000001" customHeight="1" thickBot="1"/>
    <row r="315" spans="1:2" ht="20.100000000000001" customHeight="1">
      <c r="A315" s="584" t="s">
        <v>841</v>
      </c>
      <c r="B315" s="585"/>
    </row>
    <row r="316" spans="1:2" ht="20.100000000000001" customHeight="1">
      <c r="A316" s="223" t="s">
        <v>700</v>
      </c>
      <c r="B316" s="257" t="e">
        <f>+B308</f>
        <v>#REF!</v>
      </c>
    </row>
    <row r="317" spans="1:2" ht="20.100000000000001" customHeight="1">
      <c r="A317" s="223" t="s">
        <v>1038</v>
      </c>
      <c r="B317" s="257">
        <f>+B309</f>
        <v>5200</v>
      </c>
    </row>
    <row r="318" spans="1:2" ht="20.100000000000001" customHeight="1">
      <c r="A318" s="223" t="s">
        <v>830</v>
      </c>
      <c r="B318" s="257" t="e">
        <f>+B310</f>
        <v>#REF!</v>
      </c>
    </row>
    <row r="319" spans="1:2" ht="20.100000000000001" customHeight="1">
      <c r="A319" s="223" t="s">
        <v>827</v>
      </c>
      <c r="B319" s="257" t="e">
        <f>+B311</f>
        <v>#REF!</v>
      </c>
    </row>
    <row r="320" spans="1:2" ht="20.100000000000001" customHeight="1">
      <c r="A320" s="223" t="s">
        <v>839</v>
      </c>
      <c r="B320" s="257" t="e">
        <f>+B312</f>
        <v>#REF!</v>
      </c>
    </row>
    <row r="321" spans="1:2" ht="20.100000000000001" customHeight="1" thickBot="1">
      <c r="A321" s="225"/>
      <c r="B321" s="256" t="e">
        <f>SUM(B316:B320)</f>
        <v>#REF!</v>
      </c>
    </row>
    <row r="322" spans="1:2" ht="20.100000000000001" customHeight="1" thickBot="1"/>
    <row r="323" spans="1:2" ht="20.100000000000001" customHeight="1">
      <c r="A323" s="584" t="s">
        <v>842</v>
      </c>
      <c r="B323" s="585"/>
    </row>
    <row r="324" spans="1:2" ht="20.100000000000001" customHeight="1">
      <c r="A324" s="223" t="s">
        <v>700</v>
      </c>
      <c r="B324" s="257" t="e">
        <f>+B273</f>
        <v>#REF!</v>
      </c>
    </row>
    <row r="325" spans="1:2" ht="20.100000000000001" customHeight="1">
      <c r="A325" s="223" t="s">
        <v>1038</v>
      </c>
      <c r="B325" s="257">
        <f>+B274</f>
        <v>5200</v>
      </c>
    </row>
    <row r="326" spans="1:2" ht="20.100000000000001" customHeight="1">
      <c r="A326" s="223" t="s">
        <v>834</v>
      </c>
      <c r="B326" s="257" t="e">
        <f>+B275</f>
        <v>#REF!</v>
      </c>
    </row>
    <row r="327" spans="1:2" ht="20.100000000000001" customHeight="1">
      <c r="A327" s="223" t="s">
        <v>827</v>
      </c>
      <c r="B327" s="257" t="e">
        <f>+B276</f>
        <v>#REF!</v>
      </c>
    </row>
    <row r="328" spans="1:2" ht="20.100000000000001" customHeight="1">
      <c r="A328" s="223" t="s">
        <v>839</v>
      </c>
      <c r="B328" s="257" t="e">
        <f>CEILING(((27*3)*#REF!+7*#REF!+5*#REF!+4*#REF!),50)</f>
        <v>#REF!</v>
      </c>
    </row>
    <row r="329" spans="1:2" ht="20.100000000000001" customHeight="1" thickBot="1">
      <c r="A329" s="225"/>
      <c r="B329" s="256" t="e">
        <f>SUM(B324:B328)</f>
        <v>#REF!</v>
      </c>
    </row>
    <row r="331" spans="1:2">
      <c r="A331" t="str">
        <f>+A296</f>
        <v>Facade pricing July 2024</v>
      </c>
    </row>
    <row r="333" spans="1:2" ht="19.5" customHeight="1" thickBot="1"/>
    <row r="334" spans="1:2" ht="20.100000000000001" customHeight="1">
      <c r="A334" s="584" t="s">
        <v>843</v>
      </c>
      <c r="B334" s="585"/>
    </row>
    <row r="335" spans="1:2" ht="20.100000000000001" customHeight="1">
      <c r="A335" s="223" t="s">
        <v>700</v>
      </c>
      <c r="B335" s="257" t="e">
        <f>+B283</f>
        <v>#REF!</v>
      </c>
    </row>
    <row r="336" spans="1:2" ht="20.100000000000001" customHeight="1">
      <c r="A336" s="223" t="s">
        <v>1038</v>
      </c>
      <c r="B336" s="257">
        <f>+B284</f>
        <v>5200</v>
      </c>
    </row>
    <row r="337" spans="1:2" ht="20.100000000000001" customHeight="1">
      <c r="A337" s="223" t="s">
        <v>836</v>
      </c>
      <c r="B337" s="257" t="e">
        <f>+B285</f>
        <v>#REF!</v>
      </c>
    </row>
    <row r="338" spans="1:2" ht="20.100000000000001" customHeight="1">
      <c r="A338" s="223" t="s">
        <v>827</v>
      </c>
      <c r="B338" s="257" t="e">
        <f>+B286</f>
        <v>#REF!</v>
      </c>
    </row>
    <row r="339" spans="1:2" ht="20.100000000000001" customHeight="1">
      <c r="A339" s="223" t="s">
        <v>839</v>
      </c>
      <c r="B339" s="257" t="e">
        <f>CEILING((45*#REF!+4*#REF!+4*#REF!+4*#REF!),50)</f>
        <v>#REF!</v>
      </c>
    </row>
    <row r="340" spans="1:2" ht="20.100000000000001" customHeight="1" thickBot="1">
      <c r="A340" s="225"/>
      <c r="B340" s="256" t="e">
        <f>SUM(B335:B339)</f>
        <v>#REF!</v>
      </c>
    </row>
    <row r="341" spans="1:2" ht="20.100000000000001" customHeight="1" thickBot="1"/>
    <row r="342" spans="1:2" ht="20.100000000000001" customHeight="1">
      <c r="A342" s="584" t="s">
        <v>844</v>
      </c>
      <c r="B342" s="585"/>
    </row>
    <row r="343" spans="1:2" ht="20.100000000000001" customHeight="1">
      <c r="A343" s="223" t="s">
        <v>700</v>
      </c>
      <c r="B343" s="257" t="e">
        <f>+B324</f>
        <v>#REF!</v>
      </c>
    </row>
    <row r="344" spans="1:2" ht="20.100000000000001" customHeight="1">
      <c r="A344" s="223" t="s">
        <v>1038</v>
      </c>
      <c r="B344" s="257">
        <f>+B325</f>
        <v>5200</v>
      </c>
    </row>
    <row r="345" spans="1:2" ht="20.100000000000001" customHeight="1">
      <c r="A345" s="223" t="s">
        <v>836</v>
      </c>
      <c r="B345" s="257" t="e">
        <f>+B326</f>
        <v>#REF!</v>
      </c>
    </row>
    <row r="346" spans="1:2" ht="20.100000000000001" customHeight="1">
      <c r="A346" s="223" t="s">
        <v>827</v>
      </c>
      <c r="B346" s="257" t="e">
        <f>+B327</f>
        <v>#REF!</v>
      </c>
    </row>
    <row r="347" spans="1:2" ht="20.100000000000001" customHeight="1">
      <c r="A347" s="223" t="s">
        <v>839</v>
      </c>
      <c r="B347" s="257" t="e">
        <f t="shared" ref="B347" si="0">+B328</f>
        <v>#REF!</v>
      </c>
    </row>
    <row r="348" spans="1:2" ht="20.100000000000001" customHeight="1" thickBot="1">
      <c r="A348" s="225"/>
      <c r="B348" s="256" t="e">
        <f>SUM(B343:B347)</f>
        <v>#REF!</v>
      </c>
    </row>
    <row r="349" spans="1:2" ht="20.100000000000001" customHeight="1" thickBot="1"/>
    <row r="350" spans="1:2" ht="20.100000000000001" customHeight="1">
      <c r="A350" s="584" t="s">
        <v>1016</v>
      </c>
      <c r="B350" s="585"/>
    </row>
    <row r="351" spans="1:2" ht="20.100000000000001" customHeight="1">
      <c r="A351" s="223" t="s">
        <v>72</v>
      </c>
      <c r="B351" s="242" t="e">
        <f>CEILING(((20*#REF!+4*#REF!+6*#REF!)-3.7*#REF!-3.5*#REF!-((3.5*#REF!+#REF!)/1.36*1.1)+(#REF!*2-#REF!)),50)</f>
        <v>#REF!</v>
      </c>
    </row>
    <row r="352" spans="1:2" ht="20.100000000000001" customHeight="1">
      <c r="A352" s="223" t="s">
        <v>73</v>
      </c>
      <c r="B352" s="242" t="e">
        <f>CEILING((25*#REF!+2*#REF!+6*#REF!-((3*#REF!+4*#REF!+2*#REF!)/1.36*1.1)),50)</f>
        <v>#REF!</v>
      </c>
    </row>
    <row r="353" spans="1:2" ht="20.100000000000001" customHeight="1">
      <c r="A353" s="223" t="s">
        <v>74</v>
      </c>
      <c r="B353" s="242" t="e">
        <f>CEILING(((25.8*#REF!+2*#REF!+6*#REF!)-((3*#REF!+4*#REF!+4*#REF!+#REF!*2)/1.36*1.1)),50)</f>
        <v>#REF!</v>
      </c>
    </row>
    <row r="354" spans="1:2" ht="20.100000000000001" customHeight="1">
      <c r="A354" s="223" t="s">
        <v>75</v>
      </c>
      <c r="B354" s="242" t="e">
        <f>+B353</f>
        <v>#REF!</v>
      </c>
    </row>
    <row r="355" spans="1:2" ht="20.100000000000001" customHeight="1">
      <c r="A355" s="223" t="s">
        <v>76</v>
      </c>
      <c r="B355" s="242" t="e">
        <f>CEILING(((41*#REF!+2*#REF!+#REF!+#REF!*11)-((3*#REF!+2*#REF!+2*#REF!+#REF!+#REF!)/1.36*1.1)),50)</f>
        <v>#REF!</v>
      </c>
    </row>
    <row r="356" spans="1:2" ht="20.100000000000001" customHeight="1">
      <c r="A356" s="223" t="s">
        <v>811</v>
      </c>
      <c r="B356" s="242" t="e">
        <f>+B354</f>
        <v>#REF!</v>
      </c>
    </row>
    <row r="357" spans="1:2" ht="20.100000000000001" customHeight="1" thickBot="1">
      <c r="A357" s="225" t="s">
        <v>77</v>
      </c>
      <c r="B357" s="245" t="e">
        <f>+B355</f>
        <v>#REF!</v>
      </c>
    </row>
    <row r="358" spans="1:2" ht="20.100000000000001" customHeight="1"/>
    <row r="359" spans="1:2" ht="20.100000000000001" customHeight="1">
      <c r="A359" s="18" t="s">
        <v>1017</v>
      </c>
    </row>
    <row r="360" spans="1:2" ht="20.100000000000001" customHeight="1"/>
    <row r="362" spans="1:2">
      <c r="A362" t="str">
        <f>+A331</f>
        <v>Facade pricing July 2024</v>
      </c>
    </row>
    <row r="364" spans="1:2" ht="19.5" customHeight="1" thickBot="1"/>
    <row r="365" spans="1:2" ht="20.100000000000001" customHeight="1">
      <c r="A365" s="584" t="s">
        <v>1039</v>
      </c>
      <c r="B365" s="585"/>
    </row>
    <row r="366" spans="1:2" ht="20.100000000000001" customHeight="1">
      <c r="A366" s="223" t="s">
        <v>1018</v>
      </c>
      <c r="B366" s="257" t="s">
        <v>597</v>
      </c>
    </row>
    <row r="367" spans="1:2" ht="20.100000000000001" customHeight="1">
      <c r="A367" s="223" t="s">
        <v>1040</v>
      </c>
      <c r="B367" s="257">
        <f>+B344</f>
        <v>5200</v>
      </c>
    </row>
    <row r="368" spans="1:2" ht="20.100000000000001" customHeight="1">
      <c r="A368" s="223" t="s">
        <v>1041</v>
      </c>
      <c r="B368" s="257" t="e">
        <f>+#REF!</f>
        <v>#REF!</v>
      </c>
    </row>
    <row r="369" spans="1:2" ht="20.100000000000001" customHeight="1">
      <c r="A369" s="223" t="s">
        <v>1019</v>
      </c>
      <c r="B369" s="257" t="e">
        <f>2*#REF!</f>
        <v>#REF!</v>
      </c>
    </row>
    <row r="370" spans="1:2" ht="20.100000000000001" customHeight="1">
      <c r="A370" s="223" t="s">
        <v>1020</v>
      </c>
      <c r="B370" s="257" t="e">
        <f>#REF!-#REF!</f>
        <v>#REF!</v>
      </c>
    </row>
    <row r="371" spans="1:2" ht="20.100000000000001" customHeight="1">
      <c r="A371" s="223" t="s">
        <v>1021</v>
      </c>
      <c r="B371" s="257">
        <v>15450</v>
      </c>
    </row>
    <row r="372" spans="1:2" ht="20.100000000000001" customHeight="1">
      <c r="A372" s="223" t="s">
        <v>1022</v>
      </c>
      <c r="B372" s="257">
        <v>5600</v>
      </c>
    </row>
    <row r="373" spans="1:2" ht="20.100000000000001" customHeight="1" thickBot="1">
      <c r="A373" s="225"/>
      <c r="B373" s="256" t="e">
        <f>SUM(B366:B372)</f>
        <v>#REF!</v>
      </c>
    </row>
    <row r="375" spans="1:2">
      <c r="A375" s="18" t="s">
        <v>1042</v>
      </c>
    </row>
  </sheetData>
  <mergeCells count="45">
    <mergeCell ref="A323:B323"/>
    <mergeCell ref="A334:B334"/>
    <mergeCell ref="A342:B342"/>
    <mergeCell ref="A350:B350"/>
    <mergeCell ref="A282:B282"/>
    <mergeCell ref="A289:B289"/>
    <mergeCell ref="A299:B299"/>
    <mergeCell ref="A307:B307"/>
    <mergeCell ref="A315:B315"/>
    <mergeCell ref="A177:B177"/>
    <mergeCell ref="A182:B182"/>
    <mergeCell ref="A147:B147"/>
    <mergeCell ref="A272:B272"/>
    <mergeCell ref="A203:B203"/>
    <mergeCell ref="A213:B213"/>
    <mergeCell ref="A236:B236"/>
    <mergeCell ref="A245:B245"/>
    <mergeCell ref="A220:B220"/>
    <mergeCell ref="A228:B228"/>
    <mergeCell ref="A251:B251"/>
    <mergeCell ref="A258:B258"/>
    <mergeCell ref="A265:B265"/>
    <mergeCell ref="A171:B171"/>
    <mergeCell ref="A45:B45"/>
    <mergeCell ref="A12:B12"/>
    <mergeCell ref="A16:B16"/>
    <mergeCell ref="A21:B21"/>
    <mergeCell ref="A28:B28"/>
    <mergeCell ref="A40:B40"/>
    <mergeCell ref="A5:B8"/>
    <mergeCell ref="A365:B365"/>
    <mergeCell ref="A97:B97"/>
    <mergeCell ref="A102:B102"/>
    <mergeCell ref="A111:B111"/>
    <mergeCell ref="A51:B51"/>
    <mergeCell ref="A63:B63"/>
    <mergeCell ref="A69:B69"/>
    <mergeCell ref="A78:B78"/>
    <mergeCell ref="A92:B92"/>
    <mergeCell ref="A121:B121"/>
    <mergeCell ref="A125:B125"/>
    <mergeCell ref="A132:B132"/>
    <mergeCell ref="A191:B191"/>
    <mergeCell ref="A152:B152"/>
    <mergeCell ref="A157:B157"/>
  </mergeCells>
  <phoneticPr fontId="46" type="noConversion"/>
  <pageMargins left="0.7" right="0.7" top="0.75" bottom="0.75" header="0.3" footer="0.3"/>
  <pageSetup paperSize="9" orientation="portrait" horizontalDpi="1200" r:id="rId1"/>
  <rowBreaks count="13" manualBreakCount="13">
    <brk id="34" max="16383" man="1"/>
    <brk id="58" max="16383" man="1"/>
    <brk id="87" max="16383" man="1"/>
    <brk id="116" max="16383" man="1"/>
    <brk id="142" max="16383" man="1"/>
    <brk id="166" max="16383" man="1"/>
    <brk id="198" max="1" man="1"/>
    <brk id="208" max="1" man="1"/>
    <brk id="246" max="1" man="1"/>
    <brk id="277" max="1" man="1"/>
    <brk id="294" max="1" man="1"/>
    <brk id="329" max="1" man="1"/>
    <brk id="360" max="1" man="1"/>
  </rowBreaks>
  <colBreaks count="1" manualBreakCount="1">
    <brk id="2"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27FC-9AE7-4CA2-8FBD-F3CE77C63E85}">
  <sheetPr codeName="Sheet6">
    <tabColor rgb="FF009900"/>
  </sheetPr>
  <dimension ref="A2:S218"/>
  <sheetViews>
    <sheetView workbookViewId="0">
      <selection activeCell="C41" sqref="C41"/>
    </sheetView>
  </sheetViews>
  <sheetFormatPr defaultRowHeight="14.4"/>
  <cols>
    <col min="1" max="1" width="18.33203125" bestFit="1" customWidth="1"/>
    <col min="2" max="2" width="14.88671875" style="99" customWidth="1"/>
    <col min="3" max="3" width="12.6640625" bestFit="1" customWidth="1"/>
    <col min="4" max="4" width="12.44140625" style="99" customWidth="1"/>
    <col min="5" max="5" width="11" customWidth="1"/>
    <col min="6" max="6" width="11.44140625" bestFit="1" customWidth="1"/>
    <col min="8" max="9" width="12.33203125" customWidth="1"/>
    <col min="10" max="10" width="10.6640625" customWidth="1"/>
    <col min="18" max="18" width="16.88671875" customWidth="1"/>
    <col min="19" max="19" width="10" customWidth="1"/>
    <col min="20" max="20" width="10.44140625" customWidth="1"/>
    <col min="21" max="21" width="13.44140625" customWidth="1"/>
    <col min="22" max="22" width="10.5546875" customWidth="1"/>
  </cols>
  <sheetData>
    <row r="2" spans="1:19" ht="23.4">
      <c r="A2" s="98" t="s">
        <v>528</v>
      </c>
    </row>
    <row r="3" spans="1:19" ht="23.4">
      <c r="A3" s="98" t="s">
        <v>192</v>
      </c>
    </row>
    <row r="4" spans="1:19" ht="23.4">
      <c r="A4" s="98" t="s">
        <v>193</v>
      </c>
    </row>
    <row r="5" spans="1:19">
      <c r="A5" s="100"/>
    </row>
    <row r="6" spans="1:19">
      <c r="A6" s="99"/>
      <c r="C6" s="99"/>
    </row>
    <row r="7" spans="1:19">
      <c r="A7" s="101" t="s">
        <v>194</v>
      </c>
      <c r="B7" s="99" t="s">
        <v>195</v>
      </c>
      <c r="C7" s="102" t="s">
        <v>192</v>
      </c>
      <c r="D7" s="99" t="s">
        <v>109</v>
      </c>
      <c r="E7" s="99" t="s">
        <v>3</v>
      </c>
      <c r="F7" s="99" t="s">
        <v>1009</v>
      </c>
      <c r="H7" s="103"/>
      <c r="I7" s="99"/>
      <c r="J7" s="103"/>
      <c r="N7" s="104"/>
      <c r="O7" s="99"/>
      <c r="R7" s="105"/>
      <c r="S7" s="99"/>
    </row>
    <row r="8" spans="1:19">
      <c r="A8" t="str">
        <f>IF('Fast Key'!A13=0," ",'Fast Key'!A13)</f>
        <v>Byron 19</v>
      </c>
      <c r="B8" s="99">
        <f>+Shepparton!B4</f>
        <v>270995</v>
      </c>
      <c r="C8" s="99" t="s">
        <v>5</v>
      </c>
      <c r="D8" s="99">
        <f>+Shepparton!D4</f>
        <v>5900</v>
      </c>
      <c r="E8" s="99">
        <f>+Shepparton!E4</f>
        <v>3010</v>
      </c>
      <c r="F8" s="361">
        <v>5000</v>
      </c>
    </row>
    <row r="9" spans="1:19">
      <c r="A9" t="str">
        <f>IF('Fast Key'!A14=0," ",'Fast Key'!A14)</f>
        <v>Byron 22A</v>
      </c>
      <c r="B9" s="99">
        <f>+Shepparton!B5</f>
        <v>289755</v>
      </c>
      <c r="C9" s="99" t="s">
        <v>5</v>
      </c>
      <c r="D9" s="99">
        <f>+Shepparton!D5</f>
        <v>7005</v>
      </c>
      <c r="E9" s="99">
        <f>+Shepparton!E5</f>
        <v>3715</v>
      </c>
      <c r="F9" s="361">
        <v>5000</v>
      </c>
    </row>
    <row r="10" spans="1:19">
      <c r="A10" t="str">
        <f>IF('Fast Key'!A15=0," ",'Fast Key'!A15)</f>
        <v>Byron 22B</v>
      </c>
      <c r="B10" s="99">
        <f>+Shepparton!B6</f>
        <v>294955</v>
      </c>
      <c r="C10" s="99" t="s">
        <v>5</v>
      </c>
      <c r="D10" s="99">
        <f>+Shepparton!D6</f>
        <v>7410</v>
      </c>
      <c r="E10" s="99">
        <f>+Shepparton!E6</f>
        <v>3680</v>
      </c>
      <c r="F10" s="361">
        <v>5000</v>
      </c>
      <c r="H10" s="510"/>
    </row>
    <row r="11" spans="1:19">
      <c r="A11" t="str">
        <f>IF('Fast Key'!A16=0," ",'Fast Key'!A16)</f>
        <v>Ashwood 17</v>
      </c>
      <c r="B11" s="99">
        <f>+Shepparton!B7</f>
        <v>253005</v>
      </c>
      <c r="C11" s="99" t="s">
        <v>5</v>
      </c>
      <c r="D11" s="99">
        <f>+Shepparton!D7</f>
        <v>5470</v>
      </c>
      <c r="E11" s="99">
        <f>+Shepparton!E7</f>
        <v>2295</v>
      </c>
      <c r="F11" s="361">
        <v>5000</v>
      </c>
    </row>
    <row r="12" spans="1:19">
      <c r="A12" t="str">
        <f>IF('Fast Key'!A17=0," ",'Fast Key'!A17)</f>
        <v>Ashwood 20</v>
      </c>
      <c r="B12" s="99">
        <f>+Shepparton!B8</f>
        <v>276490</v>
      </c>
      <c r="C12" s="99" t="s">
        <v>5</v>
      </c>
      <c r="D12" s="99">
        <f>+Shepparton!D8</f>
        <v>5865</v>
      </c>
      <c r="E12" s="99">
        <f>+Shepparton!E8</f>
        <v>3715</v>
      </c>
      <c r="F12" s="361">
        <v>5000</v>
      </c>
    </row>
    <row r="13" spans="1:19">
      <c r="A13" t="str">
        <f>IF('Fast Key'!A18=0," ",'Fast Key'!A18)</f>
        <v>Malvern 20</v>
      </c>
      <c r="B13" s="99">
        <f>+Shepparton!B9</f>
        <v>282770</v>
      </c>
      <c r="C13" s="99" t="s">
        <v>5</v>
      </c>
      <c r="D13" s="99">
        <f>+Shepparton!D9</f>
        <v>5590</v>
      </c>
      <c r="E13" s="99">
        <f>+Shepparton!E9</f>
        <v>3875</v>
      </c>
      <c r="F13" s="361">
        <v>5000</v>
      </c>
    </row>
    <row r="14" spans="1:19">
      <c r="A14" t="str">
        <f>IF('Fast Key'!A19=0," ",'Fast Key'!A19)</f>
        <v>Malvern 23</v>
      </c>
      <c r="B14" s="99">
        <f>+Shepparton!B10</f>
        <v>304150</v>
      </c>
      <c r="C14" s="99" t="s">
        <v>5</v>
      </c>
      <c r="D14" s="99">
        <f>+Shepparton!D10</f>
        <v>7320</v>
      </c>
      <c r="E14" s="99">
        <f>+Shepparton!E10</f>
        <v>4435</v>
      </c>
      <c r="F14" s="361">
        <v>5000</v>
      </c>
    </row>
    <row r="15" spans="1:19">
      <c r="A15" t="str">
        <f>IF('Fast Key'!A20=0," ",'Fast Key'!A20)</f>
        <v>Malvern 25</v>
      </c>
      <c r="B15" s="99">
        <f>+Shepparton!B11</f>
        <v>332790</v>
      </c>
      <c r="C15" s="99" t="s">
        <v>5</v>
      </c>
      <c r="D15" s="99">
        <f>+Shepparton!D11</f>
        <v>7185</v>
      </c>
      <c r="E15" s="99">
        <f>+Shepparton!E11</f>
        <v>5395</v>
      </c>
      <c r="F15" s="361">
        <v>5000</v>
      </c>
    </row>
    <row r="16" spans="1:19">
      <c r="A16" t="str">
        <f>IF('Fast Key'!A21=0," ",'Fast Key'!A21)</f>
        <v xml:space="preserve"> </v>
      </c>
      <c r="B16" s="99">
        <f>+Shepparton!B12</f>
        <v>0</v>
      </c>
      <c r="C16" s="99" t="s">
        <v>5</v>
      </c>
      <c r="D16" s="99">
        <f>+Shepparton!D12</f>
        <v>0</v>
      </c>
      <c r="E16" s="99">
        <f>+Shepparton!E12</f>
        <v>0</v>
      </c>
    </row>
    <row r="17" spans="1:19">
      <c r="A17" t="str">
        <f>IF('Fast Key'!A22=0," ",'Fast Key'!A22)</f>
        <v xml:space="preserve"> </v>
      </c>
      <c r="B17" s="99">
        <f>+Shepparton!B13</f>
        <v>0</v>
      </c>
      <c r="C17" s="99" t="s">
        <v>5</v>
      </c>
      <c r="D17" s="99">
        <f>+Shepparton!D13</f>
        <v>0</v>
      </c>
      <c r="E17" s="99">
        <f>+Shepparton!E13</f>
        <v>0</v>
      </c>
    </row>
    <row r="18" spans="1:19">
      <c r="A18" t="str">
        <f>IF('Fast Key'!A23=0," ",'Fast Key'!A23)</f>
        <v xml:space="preserve"> </v>
      </c>
      <c r="B18" s="99">
        <f>+Shepparton!B14</f>
        <v>0</v>
      </c>
      <c r="C18" s="99" t="s">
        <v>5</v>
      </c>
      <c r="D18" s="99">
        <f>+Shepparton!D14</f>
        <v>0</v>
      </c>
      <c r="E18" s="99">
        <f>+Shepparton!E14</f>
        <v>0</v>
      </c>
    </row>
    <row r="19" spans="1:19">
      <c r="A19" t="str">
        <f>IF('Fast Key'!A24=0," ",'Fast Key'!A24)</f>
        <v xml:space="preserve"> </v>
      </c>
      <c r="B19" s="99">
        <f>+Shepparton!B15</f>
        <v>0</v>
      </c>
      <c r="C19" s="99" t="s">
        <v>5</v>
      </c>
      <c r="D19" s="99">
        <f>+Shepparton!D15</f>
        <v>0</v>
      </c>
      <c r="E19" s="99">
        <f>+Shepparton!E15</f>
        <v>0</v>
      </c>
    </row>
    <row r="20" spans="1:19">
      <c r="A20" t="str">
        <f>IF('Fast Key'!A25=0," ",'Fast Key'!A25)</f>
        <v xml:space="preserve"> </v>
      </c>
      <c r="B20" s="99">
        <f>+Shepparton!B16</f>
        <v>0</v>
      </c>
      <c r="C20" s="99" t="s">
        <v>5</v>
      </c>
      <c r="D20" s="99">
        <f>+Shepparton!D16</f>
        <v>0</v>
      </c>
      <c r="E20" s="99">
        <f>+Shepparton!E16</f>
        <v>0</v>
      </c>
    </row>
    <row r="23" spans="1:19" hidden="1">
      <c r="B23" s="359">
        <f>SUBTOTAL(9,B8:B20)</f>
        <v>2304910</v>
      </c>
    </row>
    <row r="24" spans="1:19">
      <c r="A24" s="359" t="str">
        <f>_xlfn.XLOOKUP(B23,B8:B20,A8:A20," ",0,1)</f>
        <v xml:space="preserve"> </v>
      </c>
      <c r="B24" s="359">
        <f>IF(A24=" ",0,SUBTOTAL(9,B8:B20))</f>
        <v>0</v>
      </c>
      <c r="D24" s="359">
        <f>IF($A$24=" ",0,+SUBTOTAL(9,D8:D20))</f>
        <v>0</v>
      </c>
      <c r="E24" s="359">
        <f>IF(A24=" ",0,+SUBTOTAL(9,E8:E20))</f>
        <v>0</v>
      </c>
      <c r="F24" s="359">
        <f>IF(A24=" ",0,+SUBTOTAL(9,F8:F20))</f>
        <v>0</v>
      </c>
    </row>
    <row r="28" spans="1:19" s="99" customFormat="1">
      <c r="A28"/>
      <c r="C28"/>
      <c r="E28"/>
      <c r="F28"/>
      <c r="G28"/>
      <c r="H28"/>
      <c r="I28"/>
      <c r="J28"/>
      <c r="K28"/>
      <c r="L28"/>
      <c r="M28"/>
      <c r="N28"/>
      <c r="O28"/>
      <c r="P28"/>
      <c r="Q28"/>
      <c r="R28"/>
      <c r="S28"/>
    </row>
    <row r="29" spans="1:19" s="99" customFormat="1">
      <c r="A29"/>
      <c r="C29"/>
      <c r="E29"/>
      <c r="F29"/>
      <c r="G29"/>
      <c r="H29"/>
      <c r="I29"/>
      <c r="J29"/>
      <c r="K29"/>
      <c r="L29"/>
      <c r="M29"/>
      <c r="N29"/>
      <c r="O29"/>
      <c r="P29"/>
      <c r="Q29"/>
      <c r="R29"/>
      <c r="S29"/>
    </row>
    <row r="30" spans="1:19" s="99" customFormat="1">
      <c r="A30"/>
      <c r="C30"/>
      <c r="E30"/>
      <c r="F30"/>
      <c r="G30"/>
      <c r="H30"/>
      <c r="I30"/>
      <c r="J30"/>
      <c r="K30"/>
      <c r="L30"/>
      <c r="M30"/>
      <c r="N30"/>
      <c r="O30"/>
      <c r="P30"/>
      <c r="Q30"/>
      <c r="R30"/>
      <c r="S30"/>
    </row>
    <row r="31" spans="1:19" s="99" customFormat="1">
      <c r="A31"/>
      <c r="C31"/>
      <c r="E31"/>
      <c r="F31"/>
      <c r="G31"/>
      <c r="H31"/>
      <c r="I31"/>
      <c r="J31"/>
      <c r="K31"/>
      <c r="L31"/>
      <c r="M31"/>
      <c r="N31"/>
      <c r="O31"/>
      <c r="P31"/>
      <c r="Q31"/>
      <c r="R31"/>
      <c r="S31"/>
    </row>
    <row r="32" spans="1:19" s="99" customFormat="1">
      <c r="A32"/>
      <c r="C32"/>
      <c r="E32"/>
      <c r="F32"/>
      <c r="G32"/>
      <c r="H32"/>
      <c r="I32"/>
      <c r="J32"/>
      <c r="K32"/>
      <c r="L32"/>
      <c r="M32"/>
      <c r="N32"/>
      <c r="O32"/>
      <c r="P32"/>
      <c r="Q32"/>
      <c r="R32"/>
      <c r="S32"/>
    </row>
    <row r="33" spans="1:19" s="99" customFormat="1">
      <c r="A33"/>
      <c r="C33"/>
      <c r="E33"/>
      <c r="F33"/>
      <c r="G33"/>
      <c r="H33"/>
      <c r="I33"/>
      <c r="J33"/>
      <c r="K33"/>
      <c r="L33"/>
      <c r="M33"/>
      <c r="N33"/>
      <c r="O33"/>
      <c r="P33"/>
      <c r="Q33"/>
      <c r="R33"/>
      <c r="S33"/>
    </row>
    <row r="34" spans="1:19" s="99" customFormat="1">
      <c r="A34"/>
      <c r="C34"/>
      <c r="E34"/>
      <c r="F34"/>
      <c r="G34"/>
      <c r="H34"/>
      <c r="I34"/>
      <c r="J34"/>
      <c r="K34"/>
      <c r="L34"/>
      <c r="M34"/>
      <c r="N34"/>
      <c r="O34"/>
      <c r="P34"/>
      <c r="Q34"/>
      <c r="R34"/>
      <c r="S34"/>
    </row>
    <row r="35" spans="1:19" s="99" customFormat="1">
      <c r="A35"/>
      <c r="C35"/>
      <c r="E35"/>
      <c r="F35"/>
      <c r="G35"/>
      <c r="H35"/>
      <c r="I35"/>
      <c r="J35"/>
      <c r="K35"/>
      <c r="L35"/>
      <c r="M35"/>
      <c r="N35"/>
      <c r="O35"/>
      <c r="P35"/>
      <c r="Q35"/>
      <c r="R35"/>
      <c r="S35"/>
    </row>
    <row r="36" spans="1:19" s="99" customFormat="1">
      <c r="A36"/>
      <c r="C36"/>
      <c r="E36"/>
      <c r="F36"/>
      <c r="G36"/>
      <c r="H36"/>
      <c r="I36"/>
      <c r="J36"/>
      <c r="K36"/>
      <c r="L36"/>
      <c r="M36"/>
      <c r="N36"/>
      <c r="O36"/>
      <c r="P36"/>
      <c r="Q36"/>
      <c r="R36"/>
      <c r="S36"/>
    </row>
    <row r="37" spans="1:19" s="99" customFormat="1">
      <c r="A37"/>
      <c r="C37"/>
      <c r="E37"/>
      <c r="F37"/>
      <c r="G37"/>
      <c r="H37"/>
      <c r="I37"/>
      <c r="J37"/>
      <c r="K37"/>
      <c r="L37"/>
      <c r="M37"/>
      <c r="N37"/>
      <c r="O37"/>
      <c r="P37"/>
      <c r="Q37"/>
      <c r="R37"/>
      <c r="S37"/>
    </row>
    <row r="38" spans="1:19" s="99" customFormat="1">
      <c r="A38"/>
      <c r="C38"/>
      <c r="E38"/>
      <c r="F38"/>
      <c r="G38"/>
      <c r="H38"/>
      <c r="I38"/>
      <c r="J38"/>
      <c r="K38"/>
      <c r="L38"/>
      <c r="M38"/>
      <c r="N38"/>
      <c r="O38"/>
      <c r="P38"/>
      <c r="Q38"/>
      <c r="R38"/>
      <c r="S38"/>
    </row>
    <row r="39" spans="1:19" s="99" customFormat="1">
      <c r="A39"/>
      <c r="C39"/>
      <c r="E39"/>
      <c r="F39"/>
      <c r="G39"/>
      <c r="H39"/>
      <c r="I39"/>
      <c r="J39"/>
      <c r="K39"/>
      <c r="L39"/>
      <c r="M39"/>
      <c r="N39"/>
      <c r="O39"/>
      <c r="P39"/>
      <c r="Q39"/>
      <c r="R39"/>
      <c r="S39"/>
    </row>
    <row r="40" spans="1:19" s="99" customFormat="1">
      <c r="A40"/>
      <c r="C40"/>
      <c r="E40"/>
      <c r="F40"/>
      <c r="G40"/>
      <c r="H40"/>
      <c r="I40"/>
      <c r="J40"/>
      <c r="K40"/>
      <c r="L40"/>
      <c r="M40"/>
      <c r="N40"/>
      <c r="O40"/>
      <c r="P40"/>
      <c r="Q40"/>
      <c r="R40"/>
      <c r="S40"/>
    </row>
    <row r="41" spans="1:19" s="99" customFormat="1">
      <c r="A41"/>
      <c r="C41"/>
      <c r="E41"/>
      <c r="F41"/>
      <c r="G41"/>
      <c r="H41"/>
      <c r="I41"/>
      <c r="J41"/>
      <c r="K41"/>
      <c r="L41"/>
      <c r="M41"/>
      <c r="N41"/>
      <c r="O41"/>
      <c r="P41"/>
      <c r="Q41"/>
      <c r="R41"/>
      <c r="S41"/>
    </row>
    <row r="42" spans="1:19" s="99" customFormat="1">
      <c r="A42"/>
      <c r="C42"/>
      <c r="E42"/>
      <c r="F42"/>
      <c r="G42"/>
      <c r="H42"/>
      <c r="I42"/>
      <c r="J42"/>
      <c r="K42"/>
      <c r="L42"/>
      <c r="M42"/>
      <c r="N42"/>
      <c r="O42"/>
      <c r="P42"/>
      <c r="Q42"/>
      <c r="R42"/>
      <c r="S42"/>
    </row>
    <row r="43" spans="1:19" s="99" customFormat="1">
      <c r="A43"/>
      <c r="C43"/>
      <c r="E43"/>
      <c r="F43"/>
      <c r="G43"/>
      <c r="H43"/>
      <c r="I43"/>
      <c r="J43"/>
      <c r="K43"/>
      <c r="L43"/>
      <c r="M43"/>
      <c r="N43"/>
      <c r="O43"/>
      <c r="P43"/>
      <c r="Q43"/>
      <c r="R43"/>
      <c r="S43"/>
    </row>
    <row r="44" spans="1:19" s="99" customFormat="1">
      <c r="A44"/>
      <c r="C44"/>
      <c r="E44"/>
      <c r="F44"/>
      <c r="G44"/>
      <c r="H44"/>
      <c r="I44"/>
      <c r="J44"/>
      <c r="K44"/>
      <c r="L44"/>
      <c r="M44"/>
      <c r="N44"/>
      <c r="O44"/>
      <c r="P44"/>
      <c r="Q44"/>
      <c r="R44"/>
      <c r="S44"/>
    </row>
    <row r="45" spans="1:19" s="99" customFormat="1">
      <c r="A45"/>
      <c r="C45"/>
      <c r="E45"/>
      <c r="F45"/>
      <c r="G45"/>
      <c r="H45"/>
      <c r="I45"/>
      <c r="J45"/>
      <c r="K45"/>
      <c r="L45"/>
      <c r="M45"/>
      <c r="N45"/>
      <c r="O45"/>
      <c r="P45"/>
      <c r="Q45"/>
      <c r="R45"/>
      <c r="S45"/>
    </row>
    <row r="46" spans="1:19" s="99" customFormat="1">
      <c r="A46"/>
      <c r="C46"/>
      <c r="E46"/>
      <c r="F46"/>
      <c r="G46"/>
      <c r="H46"/>
      <c r="I46"/>
      <c r="J46"/>
      <c r="K46"/>
      <c r="L46"/>
      <c r="M46"/>
      <c r="N46"/>
      <c r="O46"/>
      <c r="P46"/>
      <c r="Q46"/>
      <c r="R46"/>
      <c r="S46"/>
    </row>
    <row r="47" spans="1:19" s="99" customFormat="1">
      <c r="A47"/>
      <c r="C47"/>
      <c r="E47"/>
      <c r="F47"/>
      <c r="G47"/>
      <c r="H47"/>
      <c r="I47"/>
      <c r="J47"/>
      <c r="K47"/>
      <c r="L47"/>
      <c r="M47"/>
      <c r="N47"/>
      <c r="O47"/>
      <c r="P47"/>
      <c r="Q47"/>
      <c r="R47"/>
      <c r="S47"/>
    </row>
    <row r="48" spans="1:19" s="99" customFormat="1">
      <c r="A48"/>
      <c r="C48"/>
      <c r="E48"/>
      <c r="F48"/>
      <c r="G48"/>
      <c r="H48"/>
      <c r="I48"/>
      <c r="J48"/>
      <c r="K48"/>
      <c r="L48"/>
      <c r="M48"/>
      <c r="N48"/>
      <c r="O48"/>
      <c r="P48"/>
      <c r="Q48"/>
      <c r="R48"/>
      <c r="S48"/>
    </row>
    <row r="49" spans="1:19" s="99" customFormat="1">
      <c r="A49"/>
      <c r="C49"/>
      <c r="E49"/>
      <c r="F49"/>
      <c r="G49"/>
      <c r="H49"/>
      <c r="I49"/>
      <c r="J49"/>
      <c r="K49"/>
      <c r="L49"/>
      <c r="M49"/>
      <c r="N49"/>
      <c r="O49"/>
      <c r="P49"/>
      <c r="Q49"/>
      <c r="R49"/>
      <c r="S49"/>
    </row>
    <row r="50" spans="1:19" s="99" customFormat="1">
      <c r="A50"/>
      <c r="C50"/>
      <c r="E50"/>
      <c r="F50"/>
      <c r="G50"/>
      <c r="H50"/>
      <c r="I50"/>
      <c r="J50"/>
      <c r="K50"/>
      <c r="L50"/>
      <c r="M50"/>
      <c r="N50"/>
      <c r="O50"/>
      <c r="P50"/>
      <c r="Q50"/>
      <c r="R50"/>
      <c r="S50"/>
    </row>
    <row r="51" spans="1:19" s="99" customFormat="1">
      <c r="A51"/>
      <c r="C51"/>
      <c r="E51"/>
      <c r="F51"/>
      <c r="G51"/>
      <c r="H51"/>
      <c r="I51"/>
      <c r="J51"/>
      <c r="K51"/>
      <c r="L51"/>
      <c r="M51"/>
      <c r="N51"/>
      <c r="O51"/>
      <c r="P51"/>
      <c r="Q51"/>
      <c r="R51"/>
      <c r="S51"/>
    </row>
    <row r="52" spans="1:19" s="99" customFormat="1">
      <c r="A52"/>
      <c r="C52"/>
      <c r="E52"/>
      <c r="F52"/>
      <c r="G52"/>
      <c r="H52"/>
      <c r="I52"/>
      <c r="J52"/>
      <c r="K52"/>
      <c r="L52"/>
      <c r="M52"/>
      <c r="N52"/>
      <c r="O52"/>
      <c r="P52"/>
      <c r="Q52"/>
      <c r="R52"/>
      <c r="S52"/>
    </row>
    <row r="53" spans="1:19" s="99" customFormat="1">
      <c r="A53"/>
      <c r="C53"/>
      <c r="E53"/>
      <c r="F53"/>
      <c r="G53"/>
      <c r="H53"/>
      <c r="I53"/>
      <c r="J53"/>
      <c r="K53"/>
      <c r="L53"/>
      <c r="M53"/>
      <c r="N53"/>
      <c r="O53"/>
      <c r="P53"/>
      <c r="Q53"/>
      <c r="R53"/>
      <c r="S53"/>
    </row>
    <row r="54" spans="1:19" s="99" customFormat="1">
      <c r="A54"/>
      <c r="C54"/>
      <c r="E54"/>
      <c r="F54"/>
      <c r="G54"/>
      <c r="H54"/>
      <c r="I54"/>
      <c r="J54"/>
      <c r="K54"/>
      <c r="L54"/>
      <c r="M54"/>
      <c r="N54"/>
      <c r="O54"/>
      <c r="P54"/>
      <c r="Q54"/>
      <c r="R54"/>
      <c r="S54"/>
    </row>
    <row r="55" spans="1:19" s="99" customFormat="1">
      <c r="A55"/>
      <c r="C55"/>
      <c r="E55"/>
      <c r="F55"/>
      <c r="G55"/>
      <c r="H55"/>
      <c r="I55"/>
      <c r="J55"/>
      <c r="K55"/>
      <c r="L55"/>
      <c r="M55"/>
      <c r="N55"/>
      <c r="O55"/>
      <c r="P55"/>
      <c r="Q55"/>
      <c r="R55"/>
      <c r="S55"/>
    </row>
    <row r="56" spans="1:19" s="99" customFormat="1">
      <c r="A56"/>
      <c r="C56"/>
      <c r="E56"/>
      <c r="F56"/>
      <c r="G56"/>
      <c r="H56"/>
      <c r="I56"/>
      <c r="J56"/>
      <c r="K56"/>
      <c r="L56"/>
      <c r="M56"/>
      <c r="N56"/>
      <c r="O56"/>
      <c r="P56"/>
      <c r="Q56"/>
      <c r="R56"/>
      <c r="S56"/>
    </row>
    <row r="57" spans="1:19" s="99" customFormat="1">
      <c r="A57"/>
      <c r="C57"/>
      <c r="E57"/>
      <c r="F57"/>
      <c r="G57"/>
      <c r="H57"/>
      <c r="I57"/>
      <c r="J57"/>
      <c r="K57"/>
      <c r="L57"/>
      <c r="M57"/>
      <c r="N57"/>
      <c r="O57"/>
      <c r="P57"/>
      <c r="Q57"/>
      <c r="R57"/>
      <c r="S57"/>
    </row>
    <row r="58" spans="1:19" s="99" customFormat="1">
      <c r="A58"/>
      <c r="C58"/>
      <c r="E58"/>
      <c r="F58"/>
      <c r="G58"/>
      <c r="H58"/>
      <c r="I58"/>
      <c r="J58"/>
      <c r="K58"/>
      <c r="L58"/>
      <c r="M58"/>
      <c r="N58"/>
      <c r="O58"/>
      <c r="P58"/>
      <c r="Q58"/>
      <c r="R58"/>
      <c r="S58"/>
    </row>
    <row r="59" spans="1:19" s="99" customFormat="1">
      <c r="A59"/>
      <c r="C59"/>
      <c r="E59"/>
      <c r="F59"/>
      <c r="G59"/>
      <c r="H59"/>
      <c r="I59"/>
      <c r="J59"/>
      <c r="K59"/>
      <c r="L59"/>
      <c r="M59"/>
      <c r="N59"/>
      <c r="O59"/>
      <c r="P59"/>
      <c r="Q59"/>
      <c r="R59"/>
      <c r="S59"/>
    </row>
    <row r="60" spans="1:19" s="99" customFormat="1">
      <c r="A60"/>
      <c r="C60"/>
      <c r="E60"/>
      <c r="F60"/>
      <c r="G60"/>
      <c r="H60"/>
      <c r="I60"/>
      <c r="J60"/>
      <c r="K60"/>
      <c r="L60"/>
      <c r="M60"/>
      <c r="N60"/>
      <c r="O60"/>
      <c r="P60"/>
      <c r="Q60"/>
      <c r="R60"/>
      <c r="S60"/>
    </row>
    <row r="61" spans="1:19" s="99" customFormat="1">
      <c r="A61"/>
      <c r="C61"/>
      <c r="E61"/>
      <c r="F61"/>
      <c r="G61"/>
      <c r="H61"/>
      <c r="I61"/>
      <c r="J61"/>
      <c r="K61"/>
      <c r="L61"/>
      <c r="M61"/>
      <c r="N61"/>
      <c r="O61"/>
      <c r="P61"/>
      <c r="Q61"/>
      <c r="R61"/>
      <c r="S61"/>
    </row>
    <row r="62" spans="1:19" s="99" customFormat="1">
      <c r="A62"/>
      <c r="C62"/>
      <c r="E62"/>
      <c r="F62"/>
      <c r="G62"/>
      <c r="H62"/>
      <c r="I62"/>
      <c r="J62"/>
      <c r="K62"/>
      <c r="L62"/>
      <c r="M62"/>
      <c r="N62"/>
      <c r="O62"/>
      <c r="P62"/>
      <c r="Q62"/>
      <c r="R62"/>
      <c r="S62"/>
    </row>
    <row r="63" spans="1:19" s="99" customFormat="1">
      <c r="A63"/>
      <c r="C63"/>
      <c r="E63"/>
      <c r="F63"/>
      <c r="G63"/>
      <c r="H63"/>
      <c r="I63"/>
      <c r="J63"/>
      <c r="K63"/>
      <c r="L63"/>
      <c r="M63"/>
      <c r="N63"/>
      <c r="O63"/>
      <c r="P63"/>
      <c r="Q63"/>
      <c r="R63"/>
      <c r="S63"/>
    </row>
    <row r="64" spans="1:19" s="99" customFormat="1">
      <c r="A64"/>
      <c r="C64"/>
      <c r="E64"/>
      <c r="F64"/>
      <c r="G64"/>
      <c r="H64"/>
      <c r="I64"/>
      <c r="J64"/>
      <c r="K64"/>
      <c r="L64"/>
      <c r="M64"/>
      <c r="N64"/>
      <c r="O64"/>
      <c r="P64"/>
      <c r="Q64"/>
      <c r="R64"/>
      <c r="S64"/>
    </row>
    <row r="65" spans="1:19" s="99" customFormat="1">
      <c r="A65"/>
      <c r="C65"/>
      <c r="E65"/>
      <c r="F65"/>
      <c r="G65"/>
      <c r="H65"/>
      <c r="I65"/>
      <c r="J65"/>
      <c r="K65"/>
      <c r="L65"/>
      <c r="M65"/>
      <c r="N65"/>
      <c r="O65"/>
      <c r="P65"/>
      <c r="Q65"/>
      <c r="R65"/>
      <c r="S65"/>
    </row>
    <row r="66" spans="1:19" s="99" customFormat="1">
      <c r="A66"/>
      <c r="C66"/>
      <c r="E66"/>
      <c r="F66"/>
      <c r="G66"/>
      <c r="H66"/>
      <c r="I66"/>
      <c r="J66"/>
      <c r="K66"/>
      <c r="L66"/>
      <c r="M66"/>
      <c r="N66"/>
      <c r="O66"/>
      <c r="P66"/>
      <c r="Q66"/>
      <c r="R66"/>
      <c r="S66"/>
    </row>
    <row r="67" spans="1:19" s="99" customFormat="1">
      <c r="A67"/>
      <c r="C67"/>
      <c r="E67"/>
      <c r="F67"/>
      <c r="G67"/>
      <c r="H67"/>
      <c r="I67"/>
      <c r="J67"/>
      <c r="K67"/>
      <c r="L67"/>
      <c r="M67"/>
      <c r="N67"/>
      <c r="O67"/>
      <c r="P67"/>
      <c r="Q67"/>
      <c r="R67"/>
      <c r="S67"/>
    </row>
    <row r="68" spans="1:19" s="99" customFormat="1">
      <c r="A68"/>
      <c r="C68"/>
      <c r="E68"/>
      <c r="F68"/>
      <c r="G68"/>
      <c r="H68"/>
      <c r="I68"/>
      <c r="J68"/>
      <c r="K68"/>
      <c r="L68"/>
      <c r="M68"/>
      <c r="N68"/>
      <c r="O68"/>
      <c r="P68"/>
      <c r="Q68"/>
      <c r="R68"/>
      <c r="S68"/>
    </row>
    <row r="69" spans="1:19" s="99" customFormat="1">
      <c r="A69"/>
      <c r="C69"/>
      <c r="E69"/>
      <c r="F69"/>
      <c r="G69"/>
      <c r="H69"/>
      <c r="I69"/>
      <c r="J69"/>
      <c r="K69"/>
      <c r="L69"/>
      <c r="M69"/>
      <c r="N69"/>
      <c r="O69"/>
      <c r="P69"/>
      <c r="Q69"/>
      <c r="R69"/>
      <c r="S69"/>
    </row>
    <row r="70" spans="1:19" s="99" customFormat="1">
      <c r="A70"/>
      <c r="C70"/>
      <c r="E70"/>
      <c r="F70"/>
      <c r="G70"/>
      <c r="H70"/>
      <c r="I70"/>
      <c r="J70"/>
      <c r="K70"/>
      <c r="L70"/>
      <c r="M70"/>
      <c r="N70"/>
      <c r="O70"/>
      <c r="P70"/>
      <c r="Q70"/>
      <c r="R70"/>
      <c r="S70"/>
    </row>
    <row r="71" spans="1:19" s="99" customFormat="1">
      <c r="A71"/>
      <c r="C71"/>
      <c r="E71"/>
      <c r="F71"/>
      <c r="G71"/>
      <c r="H71"/>
      <c r="I71"/>
      <c r="J71"/>
      <c r="K71"/>
      <c r="L71"/>
      <c r="M71"/>
      <c r="N71"/>
      <c r="O71"/>
      <c r="P71"/>
      <c r="Q71"/>
      <c r="R71"/>
      <c r="S71"/>
    </row>
    <row r="72" spans="1:19" s="99" customFormat="1">
      <c r="A72"/>
      <c r="C72"/>
      <c r="E72"/>
      <c r="F72"/>
      <c r="G72"/>
      <c r="H72"/>
      <c r="I72"/>
      <c r="J72"/>
      <c r="K72"/>
      <c r="L72"/>
      <c r="M72"/>
      <c r="N72"/>
      <c r="O72"/>
      <c r="P72"/>
      <c r="Q72"/>
      <c r="R72"/>
      <c r="S72"/>
    </row>
    <row r="73" spans="1:19" s="99" customFormat="1">
      <c r="A73"/>
      <c r="C73"/>
      <c r="E73"/>
      <c r="F73"/>
      <c r="G73"/>
      <c r="H73"/>
      <c r="I73"/>
      <c r="J73"/>
      <c r="K73"/>
      <c r="L73"/>
      <c r="M73"/>
      <c r="N73"/>
      <c r="O73"/>
      <c r="P73"/>
      <c r="Q73"/>
      <c r="R73"/>
      <c r="S73"/>
    </row>
    <row r="74" spans="1:19" s="99" customFormat="1">
      <c r="A74"/>
      <c r="C74"/>
      <c r="E74"/>
      <c r="F74"/>
      <c r="G74"/>
      <c r="H74"/>
      <c r="I74"/>
      <c r="J74"/>
      <c r="K74"/>
      <c r="L74"/>
      <c r="M74"/>
      <c r="N74"/>
      <c r="O74"/>
      <c r="P74"/>
      <c r="Q74"/>
      <c r="R74"/>
      <c r="S74"/>
    </row>
    <row r="75" spans="1:19" s="99" customFormat="1">
      <c r="A75"/>
      <c r="C75"/>
      <c r="E75"/>
      <c r="F75"/>
      <c r="G75"/>
      <c r="H75"/>
      <c r="I75"/>
      <c r="J75"/>
      <c r="K75"/>
      <c r="L75"/>
      <c r="M75"/>
      <c r="N75"/>
      <c r="O75"/>
      <c r="P75"/>
      <c r="Q75"/>
      <c r="R75"/>
      <c r="S75"/>
    </row>
    <row r="76" spans="1:19" s="99" customFormat="1">
      <c r="A76"/>
      <c r="C76"/>
      <c r="E76"/>
      <c r="F76"/>
      <c r="G76"/>
      <c r="H76"/>
      <c r="I76"/>
      <c r="J76"/>
      <c r="K76"/>
      <c r="L76"/>
      <c r="M76"/>
      <c r="N76"/>
      <c r="O76"/>
      <c r="P76"/>
      <c r="Q76"/>
      <c r="R76"/>
      <c r="S76"/>
    </row>
    <row r="77" spans="1:19" s="99" customFormat="1">
      <c r="A77"/>
      <c r="C77"/>
      <c r="E77"/>
      <c r="F77"/>
      <c r="G77"/>
      <c r="H77"/>
      <c r="I77"/>
      <c r="J77"/>
      <c r="K77"/>
      <c r="L77"/>
      <c r="M77"/>
      <c r="N77"/>
      <c r="O77"/>
      <c r="P77"/>
      <c r="Q77"/>
      <c r="R77"/>
      <c r="S77"/>
    </row>
    <row r="78" spans="1:19" s="99" customFormat="1">
      <c r="A78"/>
      <c r="C78"/>
      <c r="E78"/>
      <c r="F78"/>
      <c r="G78"/>
      <c r="H78"/>
      <c r="I78"/>
      <c r="J78"/>
      <c r="K78"/>
      <c r="L78"/>
      <c r="M78"/>
      <c r="N78"/>
      <c r="O78"/>
      <c r="P78"/>
      <c r="Q78"/>
      <c r="R78"/>
      <c r="S78"/>
    </row>
    <row r="79" spans="1:19" s="99" customFormat="1">
      <c r="A79"/>
      <c r="C79"/>
      <c r="E79"/>
      <c r="F79"/>
      <c r="G79"/>
      <c r="H79"/>
      <c r="I79"/>
      <c r="J79"/>
      <c r="K79"/>
      <c r="L79"/>
      <c r="M79"/>
      <c r="N79"/>
      <c r="O79"/>
      <c r="P79"/>
      <c r="Q79"/>
      <c r="R79"/>
      <c r="S79"/>
    </row>
    <row r="80" spans="1:19" s="99" customFormat="1">
      <c r="A80"/>
      <c r="C80"/>
      <c r="E80"/>
      <c r="F80"/>
      <c r="G80"/>
      <c r="H80"/>
      <c r="I80"/>
      <c r="J80"/>
      <c r="K80"/>
      <c r="L80"/>
      <c r="M80"/>
      <c r="N80"/>
      <c r="O80"/>
      <c r="P80"/>
      <c r="Q80"/>
      <c r="R80"/>
      <c r="S80"/>
    </row>
    <row r="81" spans="1:19" s="99" customFormat="1">
      <c r="A81"/>
      <c r="C81"/>
      <c r="E81"/>
      <c r="F81"/>
      <c r="G81"/>
      <c r="H81"/>
      <c r="I81"/>
      <c r="J81"/>
      <c r="K81"/>
      <c r="L81"/>
      <c r="M81"/>
      <c r="N81"/>
      <c r="O81"/>
      <c r="P81"/>
      <c r="Q81"/>
      <c r="R81"/>
      <c r="S81"/>
    </row>
    <row r="82" spans="1:19" s="99" customFormat="1">
      <c r="A82"/>
      <c r="C82"/>
      <c r="E82"/>
      <c r="F82"/>
      <c r="G82"/>
      <c r="H82"/>
      <c r="I82"/>
      <c r="J82"/>
      <c r="K82"/>
      <c r="L82"/>
      <c r="M82"/>
      <c r="N82"/>
      <c r="O82"/>
      <c r="P82"/>
      <c r="Q82"/>
      <c r="R82"/>
      <c r="S82"/>
    </row>
    <row r="83" spans="1:19" s="99" customFormat="1">
      <c r="A83"/>
      <c r="C83"/>
      <c r="E83"/>
      <c r="F83"/>
      <c r="G83"/>
      <c r="H83"/>
      <c r="I83"/>
      <c r="J83"/>
      <c r="K83"/>
      <c r="L83"/>
      <c r="M83"/>
      <c r="N83"/>
      <c r="O83"/>
      <c r="P83"/>
      <c r="Q83"/>
      <c r="R83"/>
      <c r="S83"/>
    </row>
    <row r="84" spans="1:19" s="99" customFormat="1">
      <c r="A84"/>
      <c r="C84"/>
      <c r="E84"/>
      <c r="F84"/>
      <c r="G84"/>
      <c r="H84"/>
      <c r="I84"/>
      <c r="J84"/>
      <c r="K84"/>
      <c r="L84"/>
      <c r="M84"/>
      <c r="N84"/>
      <c r="O84"/>
      <c r="P84"/>
      <c r="Q84"/>
      <c r="R84"/>
      <c r="S84"/>
    </row>
    <row r="85" spans="1:19" s="99" customFormat="1">
      <c r="A85"/>
      <c r="C85"/>
      <c r="E85"/>
      <c r="F85"/>
      <c r="G85"/>
      <c r="H85"/>
      <c r="I85"/>
      <c r="J85"/>
      <c r="K85"/>
      <c r="L85"/>
      <c r="M85"/>
      <c r="N85"/>
      <c r="O85"/>
      <c r="P85"/>
      <c r="Q85"/>
      <c r="R85"/>
      <c r="S85"/>
    </row>
    <row r="86" spans="1:19" s="99" customFormat="1">
      <c r="A86"/>
      <c r="C86"/>
      <c r="E86"/>
      <c r="F86"/>
      <c r="G86"/>
      <c r="H86"/>
      <c r="I86"/>
      <c r="J86"/>
      <c r="K86"/>
      <c r="L86"/>
      <c r="M86"/>
      <c r="N86"/>
      <c r="O86"/>
      <c r="P86"/>
      <c r="Q86"/>
      <c r="R86"/>
      <c r="S86"/>
    </row>
    <row r="87" spans="1:19" s="99" customFormat="1">
      <c r="A87"/>
      <c r="C87"/>
      <c r="E87"/>
      <c r="F87"/>
      <c r="G87"/>
      <c r="H87"/>
      <c r="I87"/>
      <c r="J87"/>
      <c r="K87"/>
      <c r="L87"/>
      <c r="M87"/>
      <c r="N87"/>
      <c r="O87"/>
      <c r="P87"/>
      <c r="Q87"/>
      <c r="R87"/>
      <c r="S87"/>
    </row>
    <row r="88" spans="1:19" s="99" customFormat="1">
      <c r="A88"/>
      <c r="C88"/>
      <c r="E88"/>
      <c r="F88"/>
      <c r="G88"/>
      <c r="H88"/>
      <c r="I88"/>
      <c r="J88"/>
      <c r="K88"/>
      <c r="L88"/>
      <c r="M88"/>
      <c r="N88"/>
      <c r="O88"/>
      <c r="P88"/>
      <c r="Q88"/>
      <c r="R88"/>
      <c r="S88"/>
    </row>
    <row r="89" spans="1:19" s="99" customFormat="1">
      <c r="A89"/>
      <c r="C89"/>
      <c r="E89"/>
      <c r="F89"/>
      <c r="G89"/>
      <c r="H89"/>
      <c r="I89"/>
      <c r="J89"/>
      <c r="K89"/>
      <c r="L89"/>
      <c r="M89"/>
      <c r="N89"/>
      <c r="O89"/>
      <c r="P89"/>
      <c r="Q89"/>
      <c r="R89"/>
      <c r="S89"/>
    </row>
    <row r="90" spans="1:19" s="99" customFormat="1">
      <c r="A90"/>
      <c r="C90"/>
      <c r="E90"/>
      <c r="F90"/>
      <c r="G90"/>
      <c r="H90"/>
      <c r="I90"/>
      <c r="J90"/>
      <c r="K90"/>
      <c r="L90"/>
      <c r="M90"/>
      <c r="N90"/>
      <c r="O90"/>
      <c r="P90"/>
      <c r="Q90"/>
      <c r="R90"/>
      <c r="S90"/>
    </row>
    <row r="91" spans="1:19" s="99" customFormat="1">
      <c r="A91"/>
      <c r="C91"/>
      <c r="E91"/>
      <c r="F91"/>
      <c r="G91"/>
      <c r="H91"/>
      <c r="I91"/>
      <c r="J91"/>
      <c r="K91"/>
      <c r="L91"/>
      <c r="M91"/>
      <c r="N91"/>
      <c r="O91"/>
      <c r="P91"/>
      <c r="Q91"/>
      <c r="R91"/>
      <c r="S91"/>
    </row>
    <row r="92" spans="1:19" s="99" customFormat="1">
      <c r="A92"/>
      <c r="C92"/>
      <c r="E92"/>
      <c r="F92"/>
      <c r="G92"/>
      <c r="H92"/>
      <c r="I92"/>
      <c r="J92"/>
      <c r="K92"/>
      <c r="L92"/>
      <c r="M92"/>
      <c r="N92"/>
      <c r="O92"/>
      <c r="P92"/>
      <c r="Q92"/>
      <c r="R92"/>
      <c r="S92"/>
    </row>
    <row r="93" spans="1:19" s="99" customFormat="1">
      <c r="A93"/>
      <c r="C93"/>
      <c r="E93"/>
      <c r="F93"/>
      <c r="G93"/>
      <c r="H93"/>
      <c r="I93"/>
      <c r="J93"/>
      <c r="K93"/>
      <c r="L93"/>
      <c r="M93"/>
      <c r="N93"/>
      <c r="O93"/>
      <c r="P93"/>
      <c r="Q93"/>
      <c r="R93"/>
      <c r="S93"/>
    </row>
    <row r="94" spans="1:19" s="99" customFormat="1">
      <c r="A94"/>
      <c r="C94"/>
      <c r="E94"/>
      <c r="F94"/>
      <c r="G94"/>
      <c r="H94"/>
      <c r="I94"/>
      <c r="J94"/>
      <c r="K94"/>
      <c r="L94"/>
      <c r="M94"/>
      <c r="N94"/>
      <c r="O94"/>
      <c r="P94"/>
      <c r="Q94"/>
      <c r="R94"/>
      <c r="S94"/>
    </row>
    <row r="95" spans="1:19" s="99" customFormat="1">
      <c r="A95"/>
      <c r="C95"/>
      <c r="E95"/>
      <c r="F95"/>
      <c r="G95"/>
      <c r="H95"/>
      <c r="I95"/>
      <c r="J95"/>
      <c r="K95"/>
      <c r="L95"/>
      <c r="M95"/>
      <c r="N95"/>
      <c r="O95"/>
      <c r="P95"/>
      <c r="Q95"/>
      <c r="R95"/>
      <c r="S95"/>
    </row>
    <row r="96" spans="1:19" s="99" customFormat="1">
      <c r="A96"/>
      <c r="C96"/>
      <c r="E96"/>
      <c r="F96"/>
      <c r="G96"/>
      <c r="H96"/>
      <c r="I96"/>
      <c r="J96"/>
      <c r="K96"/>
      <c r="L96"/>
      <c r="M96"/>
      <c r="N96"/>
      <c r="O96"/>
      <c r="P96"/>
      <c r="Q96"/>
      <c r="R96"/>
      <c r="S96"/>
    </row>
    <row r="97" spans="1:19" s="99" customFormat="1">
      <c r="A97"/>
      <c r="C97"/>
      <c r="E97"/>
      <c r="F97"/>
      <c r="G97"/>
      <c r="H97"/>
      <c r="I97"/>
      <c r="J97"/>
      <c r="K97"/>
      <c r="L97"/>
      <c r="M97"/>
      <c r="N97"/>
      <c r="O97"/>
      <c r="P97"/>
      <c r="Q97"/>
      <c r="R97"/>
      <c r="S97"/>
    </row>
    <row r="98" spans="1:19" s="99" customFormat="1">
      <c r="A98"/>
      <c r="C98"/>
      <c r="E98"/>
      <c r="F98"/>
      <c r="G98"/>
      <c r="H98"/>
      <c r="I98"/>
      <c r="J98"/>
      <c r="K98"/>
      <c r="L98"/>
      <c r="M98"/>
      <c r="N98"/>
      <c r="O98"/>
      <c r="P98"/>
      <c r="Q98"/>
      <c r="R98"/>
      <c r="S98"/>
    </row>
    <row r="99" spans="1:19" s="99" customFormat="1">
      <c r="A99"/>
      <c r="C99"/>
      <c r="E99"/>
      <c r="F99"/>
      <c r="G99"/>
      <c r="H99"/>
      <c r="I99"/>
      <c r="J99"/>
      <c r="K99"/>
      <c r="L99"/>
      <c r="M99"/>
      <c r="N99"/>
      <c r="O99"/>
      <c r="P99"/>
      <c r="Q99"/>
      <c r="R99"/>
      <c r="S99"/>
    </row>
    <row r="100" spans="1:19" s="99" customFormat="1">
      <c r="A100"/>
      <c r="C100"/>
      <c r="E100"/>
      <c r="F100"/>
      <c r="G100"/>
      <c r="H100"/>
      <c r="I100"/>
      <c r="J100"/>
      <c r="K100"/>
      <c r="L100"/>
      <c r="M100"/>
      <c r="N100"/>
      <c r="O100"/>
      <c r="P100"/>
      <c r="Q100"/>
      <c r="R100"/>
      <c r="S100"/>
    </row>
    <row r="101" spans="1:19" s="99" customFormat="1">
      <c r="A101"/>
      <c r="C101"/>
      <c r="E101"/>
      <c r="F101"/>
      <c r="G101"/>
      <c r="H101"/>
      <c r="I101"/>
      <c r="J101"/>
      <c r="K101"/>
      <c r="L101"/>
      <c r="M101"/>
      <c r="N101"/>
      <c r="O101"/>
      <c r="P101"/>
      <c r="Q101"/>
      <c r="R101"/>
      <c r="S101"/>
    </row>
    <row r="102" spans="1:19" s="99" customFormat="1">
      <c r="A102"/>
      <c r="C102"/>
      <c r="E102"/>
      <c r="F102"/>
      <c r="G102"/>
      <c r="H102"/>
      <c r="I102"/>
      <c r="J102"/>
      <c r="K102"/>
      <c r="L102"/>
      <c r="M102"/>
      <c r="N102"/>
      <c r="O102"/>
      <c r="P102"/>
      <c r="Q102"/>
      <c r="R102"/>
      <c r="S102"/>
    </row>
    <row r="103" spans="1:19" s="99" customFormat="1">
      <c r="A103"/>
      <c r="C103"/>
      <c r="E103"/>
      <c r="F103"/>
      <c r="G103"/>
      <c r="H103"/>
      <c r="I103"/>
      <c r="J103"/>
      <c r="K103"/>
      <c r="L103"/>
      <c r="M103"/>
      <c r="N103"/>
      <c r="O103"/>
      <c r="P103"/>
      <c r="Q103"/>
      <c r="R103"/>
      <c r="S103"/>
    </row>
    <row r="104" spans="1:19" s="99" customFormat="1">
      <c r="A104"/>
      <c r="C104"/>
      <c r="E104"/>
      <c r="F104"/>
      <c r="G104"/>
      <c r="H104"/>
      <c r="I104"/>
      <c r="J104"/>
      <c r="K104"/>
      <c r="L104"/>
      <c r="M104"/>
      <c r="N104"/>
      <c r="O104"/>
      <c r="P104"/>
      <c r="Q104"/>
      <c r="R104"/>
      <c r="S104"/>
    </row>
    <row r="105" spans="1:19" s="99" customFormat="1">
      <c r="A105"/>
      <c r="C105"/>
      <c r="E105"/>
      <c r="F105"/>
      <c r="G105"/>
      <c r="H105"/>
      <c r="I105"/>
      <c r="J105"/>
      <c r="K105"/>
      <c r="L105"/>
      <c r="M105"/>
      <c r="N105"/>
      <c r="O105"/>
      <c r="P105"/>
      <c r="Q105"/>
      <c r="R105"/>
      <c r="S105"/>
    </row>
    <row r="106" spans="1:19" s="99" customFormat="1">
      <c r="A106"/>
      <c r="C106"/>
      <c r="E106"/>
      <c r="F106"/>
      <c r="G106"/>
      <c r="H106"/>
      <c r="I106"/>
      <c r="J106"/>
      <c r="K106"/>
      <c r="L106"/>
      <c r="M106"/>
      <c r="N106"/>
      <c r="O106"/>
      <c r="P106"/>
      <c r="Q106"/>
      <c r="R106"/>
      <c r="S106"/>
    </row>
    <row r="107" spans="1:19" s="99" customFormat="1">
      <c r="A107"/>
      <c r="C107"/>
      <c r="E107"/>
      <c r="F107"/>
      <c r="G107"/>
      <c r="H107"/>
      <c r="I107"/>
      <c r="J107"/>
      <c r="K107"/>
      <c r="L107"/>
      <c r="M107"/>
      <c r="N107"/>
      <c r="O107"/>
      <c r="P107"/>
      <c r="Q107"/>
      <c r="R107"/>
      <c r="S107"/>
    </row>
    <row r="108" spans="1:19" s="99" customFormat="1">
      <c r="A108"/>
      <c r="C108"/>
      <c r="E108"/>
      <c r="F108"/>
      <c r="G108"/>
      <c r="H108"/>
      <c r="I108"/>
      <c r="J108"/>
      <c r="K108"/>
      <c r="L108"/>
      <c r="M108"/>
      <c r="N108"/>
      <c r="O108"/>
      <c r="P108"/>
      <c r="Q108"/>
      <c r="R108"/>
      <c r="S108"/>
    </row>
    <row r="109" spans="1:19" s="99" customFormat="1">
      <c r="A109"/>
      <c r="C109"/>
      <c r="E109"/>
      <c r="F109"/>
      <c r="G109"/>
      <c r="H109"/>
      <c r="I109"/>
      <c r="J109"/>
      <c r="K109"/>
      <c r="L109"/>
      <c r="M109"/>
      <c r="N109"/>
      <c r="O109"/>
      <c r="P109"/>
      <c r="Q109"/>
      <c r="R109"/>
      <c r="S109"/>
    </row>
    <row r="110" spans="1:19" s="99" customFormat="1">
      <c r="A110"/>
      <c r="C110"/>
      <c r="E110"/>
      <c r="F110"/>
      <c r="G110"/>
      <c r="H110"/>
      <c r="I110"/>
      <c r="J110"/>
      <c r="K110"/>
      <c r="L110"/>
      <c r="M110"/>
      <c r="N110"/>
      <c r="O110"/>
      <c r="P110"/>
      <c r="Q110"/>
      <c r="R110"/>
      <c r="S110"/>
    </row>
    <row r="111" spans="1:19" s="99" customFormat="1">
      <c r="A111"/>
      <c r="C111"/>
      <c r="E111"/>
      <c r="F111"/>
      <c r="G111"/>
      <c r="H111"/>
      <c r="I111"/>
      <c r="J111"/>
      <c r="K111"/>
      <c r="L111"/>
      <c r="M111"/>
      <c r="N111"/>
      <c r="O111"/>
      <c r="P111"/>
      <c r="Q111"/>
      <c r="R111"/>
      <c r="S111"/>
    </row>
    <row r="112" spans="1:19" s="99" customFormat="1">
      <c r="A112"/>
      <c r="C112"/>
      <c r="E112"/>
      <c r="F112"/>
      <c r="G112"/>
      <c r="H112"/>
      <c r="I112"/>
      <c r="J112"/>
      <c r="K112"/>
      <c r="L112"/>
      <c r="M112"/>
      <c r="N112"/>
      <c r="O112"/>
      <c r="P112"/>
      <c r="Q112"/>
      <c r="R112"/>
      <c r="S112"/>
    </row>
    <row r="113" spans="1:19" s="99" customFormat="1">
      <c r="A113"/>
      <c r="C113"/>
      <c r="E113"/>
      <c r="F113"/>
      <c r="G113"/>
      <c r="H113"/>
      <c r="I113"/>
      <c r="J113"/>
      <c r="K113"/>
      <c r="L113"/>
      <c r="M113"/>
      <c r="N113"/>
      <c r="O113"/>
      <c r="P113"/>
      <c r="Q113"/>
      <c r="R113"/>
      <c r="S113"/>
    </row>
    <row r="114" spans="1:19" s="99" customFormat="1">
      <c r="A114"/>
      <c r="C114"/>
      <c r="E114"/>
      <c r="F114"/>
      <c r="G114"/>
      <c r="H114"/>
      <c r="I114"/>
      <c r="J114"/>
      <c r="K114"/>
      <c r="L114"/>
      <c r="M114"/>
      <c r="N114"/>
      <c r="O114"/>
      <c r="P114"/>
      <c r="Q114"/>
      <c r="R114"/>
      <c r="S114"/>
    </row>
    <row r="115" spans="1:19" s="99" customFormat="1">
      <c r="A115"/>
      <c r="C115"/>
      <c r="E115"/>
      <c r="F115"/>
      <c r="G115"/>
      <c r="H115"/>
      <c r="I115"/>
      <c r="J115"/>
      <c r="K115"/>
      <c r="L115"/>
      <c r="M115"/>
      <c r="N115"/>
      <c r="O115"/>
      <c r="P115"/>
      <c r="Q115"/>
      <c r="R115"/>
      <c r="S115"/>
    </row>
    <row r="116" spans="1:19" s="99" customFormat="1">
      <c r="A116"/>
      <c r="C116"/>
      <c r="E116"/>
      <c r="F116"/>
      <c r="G116"/>
      <c r="H116"/>
      <c r="I116"/>
      <c r="J116"/>
      <c r="K116"/>
      <c r="L116"/>
      <c r="M116"/>
      <c r="N116"/>
      <c r="O116"/>
      <c r="P116"/>
      <c r="Q116"/>
      <c r="R116"/>
      <c r="S116"/>
    </row>
    <row r="117" spans="1:19" s="99" customFormat="1">
      <c r="A117"/>
      <c r="C117"/>
      <c r="E117"/>
      <c r="F117"/>
      <c r="G117"/>
      <c r="H117"/>
      <c r="I117"/>
      <c r="J117"/>
      <c r="K117"/>
      <c r="L117"/>
      <c r="M117"/>
      <c r="N117"/>
      <c r="O117"/>
      <c r="P117"/>
      <c r="Q117"/>
      <c r="R117"/>
      <c r="S117"/>
    </row>
    <row r="118" spans="1:19" s="99" customFormat="1">
      <c r="A118"/>
      <c r="C118"/>
      <c r="E118"/>
      <c r="F118"/>
      <c r="G118"/>
      <c r="H118"/>
      <c r="I118"/>
      <c r="J118"/>
      <c r="K118"/>
      <c r="L118"/>
      <c r="M118"/>
      <c r="N118"/>
      <c r="O118"/>
      <c r="P118"/>
      <c r="Q118"/>
      <c r="R118"/>
      <c r="S118"/>
    </row>
    <row r="119" spans="1:19" s="99" customFormat="1">
      <c r="A119"/>
      <c r="C119"/>
      <c r="E119"/>
      <c r="F119"/>
      <c r="G119"/>
      <c r="H119"/>
      <c r="I119"/>
      <c r="J119"/>
      <c r="K119"/>
      <c r="L119"/>
      <c r="M119"/>
      <c r="N119"/>
      <c r="O119"/>
      <c r="P119"/>
      <c r="Q119"/>
      <c r="R119"/>
      <c r="S119"/>
    </row>
    <row r="120" spans="1:19" s="99" customFormat="1">
      <c r="A120"/>
      <c r="C120"/>
      <c r="E120"/>
      <c r="F120"/>
      <c r="G120"/>
      <c r="H120"/>
      <c r="I120"/>
      <c r="J120"/>
      <c r="K120"/>
      <c r="L120"/>
      <c r="M120"/>
      <c r="N120"/>
      <c r="O120"/>
      <c r="P120"/>
      <c r="Q120"/>
      <c r="R120"/>
      <c r="S120"/>
    </row>
    <row r="121" spans="1:19" s="99" customFormat="1">
      <c r="A121"/>
      <c r="C121"/>
      <c r="E121"/>
      <c r="F121"/>
      <c r="G121"/>
      <c r="H121"/>
      <c r="I121"/>
      <c r="J121"/>
      <c r="K121"/>
      <c r="L121"/>
      <c r="M121"/>
      <c r="N121"/>
      <c r="O121"/>
      <c r="P121"/>
      <c r="Q121"/>
      <c r="R121"/>
      <c r="S121"/>
    </row>
    <row r="122" spans="1:19" s="99" customFormat="1">
      <c r="A122"/>
      <c r="C122"/>
      <c r="E122"/>
      <c r="F122"/>
      <c r="G122"/>
      <c r="H122"/>
      <c r="I122"/>
      <c r="J122"/>
      <c r="K122"/>
      <c r="L122"/>
      <c r="M122"/>
      <c r="N122"/>
      <c r="O122"/>
      <c r="P122"/>
      <c r="Q122"/>
      <c r="R122"/>
      <c r="S122"/>
    </row>
    <row r="123" spans="1:19" s="99" customFormat="1">
      <c r="A123"/>
      <c r="C123"/>
      <c r="E123"/>
      <c r="F123"/>
      <c r="G123"/>
      <c r="H123"/>
      <c r="I123"/>
      <c r="J123"/>
      <c r="K123"/>
      <c r="L123"/>
      <c r="M123"/>
      <c r="N123"/>
      <c r="O123"/>
      <c r="P123"/>
      <c r="Q123"/>
      <c r="R123"/>
      <c r="S123"/>
    </row>
    <row r="124" spans="1:19" s="99" customFormat="1">
      <c r="A124"/>
      <c r="C124"/>
      <c r="E124"/>
      <c r="F124"/>
      <c r="G124"/>
      <c r="H124"/>
      <c r="I124"/>
      <c r="J124"/>
      <c r="K124"/>
      <c r="L124"/>
      <c r="M124"/>
      <c r="N124"/>
      <c r="O124"/>
      <c r="P124"/>
      <c r="Q124"/>
      <c r="R124"/>
      <c r="S124"/>
    </row>
    <row r="125" spans="1:19" s="99" customFormat="1">
      <c r="A125"/>
      <c r="C125"/>
      <c r="E125"/>
      <c r="F125"/>
      <c r="G125"/>
      <c r="H125"/>
      <c r="I125"/>
      <c r="J125"/>
      <c r="K125"/>
      <c r="L125"/>
      <c r="M125"/>
      <c r="N125"/>
      <c r="O125"/>
      <c r="P125"/>
      <c r="Q125"/>
      <c r="R125"/>
      <c r="S125"/>
    </row>
    <row r="126" spans="1:19" s="99" customFormat="1">
      <c r="A126"/>
      <c r="C126"/>
      <c r="E126"/>
      <c r="F126"/>
      <c r="G126"/>
      <c r="H126"/>
      <c r="I126"/>
      <c r="J126"/>
      <c r="K126"/>
      <c r="L126"/>
      <c r="M126"/>
      <c r="N126"/>
      <c r="O126"/>
      <c r="P126"/>
      <c r="Q126"/>
      <c r="R126"/>
      <c r="S126"/>
    </row>
    <row r="127" spans="1:19" s="99" customFormat="1">
      <c r="A127"/>
      <c r="C127"/>
      <c r="E127"/>
      <c r="F127"/>
      <c r="G127"/>
      <c r="H127"/>
      <c r="I127"/>
      <c r="J127"/>
      <c r="K127"/>
      <c r="L127"/>
      <c r="M127"/>
      <c r="N127"/>
      <c r="O127"/>
      <c r="P127"/>
      <c r="Q127"/>
      <c r="R127"/>
      <c r="S127"/>
    </row>
    <row r="128" spans="1:19" s="99" customFormat="1">
      <c r="A128"/>
      <c r="C128"/>
      <c r="E128"/>
      <c r="F128"/>
      <c r="G128"/>
      <c r="H128"/>
      <c r="I128"/>
      <c r="J128"/>
      <c r="K128"/>
      <c r="L128"/>
      <c r="M128"/>
      <c r="N128"/>
      <c r="O128"/>
      <c r="P128"/>
      <c r="Q128"/>
      <c r="R128"/>
      <c r="S128"/>
    </row>
    <row r="129" spans="1:19" s="99" customFormat="1">
      <c r="A129"/>
      <c r="C129"/>
      <c r="E129"/>
      <c r="F129"/>
      <c r="G129"/>
      <c r="H129"/>
      <c r="I129"/>
      <c r="J129"/>
      <c r="K129"/>
      <c r="L129"/>
      <c r="M129"/>
      <c r="N129"/>
      <c r="O129"/>
      <c r="P129"/>
      <c r="Q129"/>
      <c r="R129"/>
      <c r="S129"/>
    </row>
    <row r="130" spans="1:19" s="99" customFormat="1">
      <c r="A130"/>
      <c r="C130"/>
      <c r="E130"/>
      <c r="F130"/>
      <c r="G130"/>
      <c r="H130"/>
      <c r="I130"/>
      <c r="J130"/>
      <c r="K130"/>
      <c r="L130"/>
      <c r="M130"/>
      <c r="N130"/>
      <c r="O130"/>
      <c r="P130"/>
      <c r="Q130"/>
      <c r="R130"/>
      <c r="S130"/>
    </row>
    <row r="131" spans="1:19" s="99" customFormat="1">
      <c r="A131"/>
      <c r="C131"/>
      <c r="E131"/>
      <c r="F131"/>
      <c r="G131"/>
      <c r="H131"/>
      <c r="I131"/>
      <c r="J131"/>
      <c r="K131"/>
      <c r="L131"/>
      <c r="M131"/>
      <c r="N131"/>
      <c r="O131"/>
      <c r="P131"/>
      <c r="Q131"/>
      <c r="R131"/>
      <c r="S131"/>
    </row>
    <row r="132" spans="1:19" s="99" customFormat="1">
      <c r="A132"/>
      <c r="C132"/>
      <c r="E132"/>
      <c r="F132"/>
      <c r="G132"/>
      <c r="H132"/>
      <c r="I132"/>
      <c r="J132"/>
      <c r="K132"/>
      <c r="L132"/>
      <c r="M132"/>
      <c r="N132"/>
      <c r="O132"/>
      <c r="P132"/>
      <c r="Q132"/>
      <c r="R132"/>
      <c r="S132"/>
    </row>
    <row r="133" spans="1:19" s="99" customFormat="1">
      <c r="A133"/>
      <c r="C133"/>
      <c r="E133"/>
      <c r="F133"/>
      <c r="G133"/>
      <c r="H133"/>
      <c r="I133"/>
      <c r="J133"/>
      <c r="K133"/>
      <c r="L133"/>
      <c r="M133"/>
      <c r="N133"/>
      <c r="O133"/>
      <c r="P133"/>
      <c r="Q133"/>
      <c r="R133"/>
      <c r="S133"/>
    </row>
    <row r="134" spans="1:19" s="99" customFormat="1">
      <c r="A134"/>
      <c r="C134"/>
      <c r="E134"/>
      <c r="F134"/>
      <c r="G134"/>
      <c r="H134"/>
      <c r="I134"/>
      <c r="J134"/>
      <c r="K134"/>
      <c r="L134"/>
      <c r="M134"/>
      <c r="N134"/>
      <c r="O134"/>
      <c r="P134"/>
      <c r="Q134"/>
      <c r="R134"/>
      <c r="S134"/>
    </row>
    <row r="135" spans="1:19" s="99" customFormat="1">
      <c r="A135"/>
      <c r="C135"/>
      <c r="E135"/>
      <c r="F135"/>
      <c r="G135"/>
      <c r="H135"/>
      <c r="I135"/>
      <c r="J135"/>
      <c r="K135"/>
      <c r="L135"/>
      <c r="M135"/>
      <c r="N135"/>
      <c r="O135"/>
      <c r="P135"/>
      <c r="Q135"/>
      <c r="R135"/>
      <c r="S135"/>
    </row>
    <row r="136" spans="1:19" s="99" customFormat="1">
      <c r="A136"/>
      <c r="C136"/>
      <c r="E136"/>
      <c r="F136"/>
      <c r="G136"/>
      <c r="H136"/>
      <c r="I136"/>
      <c r="J136"/>
      <c r="K136"/>
      <c r="L136"/>
      <c r="M136"/>
      <c r="N136"/>
      <c r="O136"/>
      <c r="P136"/>
      <c r="Q136"/>
      <c r="R136"/>
      <c r="S136"/>
    </row>
    <row r="137" spans="1:19" s="99" customFormat="1">
      <c r="A137"/>
      <c r="C137"/>
      <c r="E137"/>
      <c r="F137"/>
      <c r="G137"/>
      <c r="H137"/>
      <c r="I137"/>
      <c r="J137"/>
      <c r="K137"/>
      <c r="L137"/>
      <c r="M137"/>
      <c r="N137"/>
      <c r="O137"/>
      <c r="P137"/>
      <c r="Q137"/>
      <c r="R137"/>
      <c r="S137"/>
    </row>
    <row r="138" spans="1:19" s="99" customFormat="1">
      <c r="A138"/>
      <c r="C138"/>
      <c r="E138"/>
      <c r="F138"/>
      <c r="G138"/>
      <c r="H138"/>
      <c r="I138"/>
      <c r="J138"/>
      <c r="K138"/>
      <c r="L138"/>
      <c r="M138"/>
      <c r="N138"/>
      <c r="O138"/>
      <c r="P138"/>
      <c r="Q138"/>
      <c r="R138"/>
      <c r="S138"/>
    </row>
    <row r="139" spans="1:19" s="99" customFormat="1">
      <c r="A139"/>
      <c r="C139"/>
      <c r="E139"/>
      <c r="F139"/>
      <c r="G139"/>
      <c r="H139"/>
      <c r="I139"/>
      <c r="J139"/>
      <c r="K139"/>
      <c r="L139"/>
      <c r="M139"/>
      <c r="N139"/>
      <c r="O139"/>
      <c r="P139"/>
      <c r="Q139"/>
      <c r="R139"/>
      <c r="S139"/>
    </row>
    <row r="140" spans="1:19" s="99" customFormat="1">
      <c r="A140"/>
      <c r="C140"/>
      <c r="E140"/>
      <c r="F140"/>
      <c r="G140"/>
      <c r="H140"/>
      <c r="I140"/>
      <c r="J140"/>
      <c r="K140"/>
      <c r="L140"/>
      <c r="M140"/>
      <c r="N140"/>
      <c r="O140"/>
      <c r="P140"/>
      <c r="Q140"/>
      <c r="R140"/>
      <c r="S140"/>
    </row>
    <row r="141" spans="1:19" s="99" customFormat="1">
      <c r="A141"/>
      <c r="C141"/>
      <c r="E141"/>
      <c r="F141"/>
      <c r="G141"/>
      <c r="H141"/>
      <c r="I141"/>
      <c r="J141"/>
      <c r="K141"/>
      <c r="L141"/>
      <c r="M141"/>
      <c r="N141"/>
      <c r="O141"/>
      <c r="P141"/>
      <c r="Q141"/>
      <c r="R141"/>
      <c r="S141"/>
    </row>
    <row r="142" spans="1:19" s="99" customFormat="1">
      <c r="A142"/>
      <c r="C142"/>
      <c r="E142"/>
      <c r="F142"/>
      <c r="G142"/>
      <c r="H142"/>
      <c r="I142"/>
      <c r="J142"/>
      <c r="K142"/>
      <c r="L142"/>
      <c r="M142"/>
      <c r="N142"/>
      <c r="O142"/>
      <c r="P142"/>
      <c r="Q142"/>
      <c r="R142"/>
      <c r="S142"/>
    </row>
    <row r="143" spans="1:19" s="99" customFormat="1">
      <c r="A143"/>
      <c r="C143"/>
      <c r="E143"/>
      <c r="F143"/>
      <c r="G143"/>
      <c r="H143"/>
      <c r="I143"/>
      <c r="J143"/>
      <c r="K143"/>
      <c r="L143"/>
      <c r="M143"/>
      <c r="N143"/>
      <c r="O143"/>
      <c r="P143"/>
      <c r="Q143"/>
      <c r="R143"/>
      <c r="S143"/>
    </row>
    <row r="144" spans="1:19" s="99" customFormat="1">
      <c r="A144"/>
      <c r="C144"/>
      <c r="E144"/>
      <c r="F144"/>
      <c r="G144"/>
      <c r="H144"/>
      <c r="I144"/>
      <c r="J144"/>
      <c r="K144"/>
      <c r="L144"/>
      <c r="M144"/>
      <c r="N144"/>
      <c r="O144"/>
      <c r="P144"/>
      <c r="Q144"/>
      <c r="R144"/>
      <c r="S144"/>
    </row>
    <row r="145" spans="1:19" s="99" customFormat="1">
      <c r="A145"/>
      <c r="C145"/>
      <c r="E145"/>
      <c r="F145"/>
      <c r="G145"/>
      <c r="H145"/>
      <c r="I145"/>
      <c r="J145"/>
      <c r="K145"/>
      <c r="L145"/>
      <c r="M145"/>
      <c r="N145"/>
      <c r="O145"/>
      <c r="P145"/>
      <c r="Q145"/>
      <c r="R145"/>
      <c r="S145"/>
    </row>
    <row r="146" spans="1:19" s="99" customFormat="1">
      <c r="A146"/>
      <c r="C146"/>
      <c r="E146"/>
      <c r="F146"/>
      <c r="G146"/>
      <c r="H146"/>
      <c r="I146"/>
      <c r="J146"/>
      <c r="K146"/>
      <c r="L146"/>
      <c r="M146"/>
      <c r="N146"/>
      <c r="O146"/>
      <c r="P146"/>
      <c r="Q146"/>
      <c r="R146"/>
      <c r="S146"/>
    </row>
    <row r="147" spans="1:19" s="99" customFormat="1">
      <c r="A147"/>
      <c r="C147"/>
      <c r="E147"/>
      <c r="F147"/>
      <c r="G147"/>
      <c r="H147"/>
      <c r="I147"/>
      <c r="J147"/>
      <c r="K147"/>
      <c r="L147"/>
      <c r="M147"/>
      <c r="N147"/>
      <c r="O147"/>
      <c r="P147"/>
      <c r="Q147"/>
      <c r="R147"/>
      <c r="S147"/>
    </row>
    <row r="148" spans="1:19" s="99" customFormat="1">
      <c r="A148"/>
      <c r="C148"/>
      <c r="E148"/>
      <c r="F148"/>
      <c r="G148"/>
      <c r="H148"/>
      <c r="I148"/>
      <c r="J148"/>
      <c r="K148"/>
      <c r="L148"/>
      <c r="M148"/>
      <c r="N148"/>
      <c r="O148"/>
      <c r="P148"/>
      <c r="Q148"/>
      <c r="R148"/>
      <c r="S148"/>
    </row>
    <row r="149" spans="1:19" s="99" customFormat="1">
      <c r="A149"/>
      <c r="C149"/>
      <c r="E149"/>
      <c r="F149"/>
      <c r="G149"/>
      <c r="H149"/>
      <c r="I149"/>
      <c r="J149"/>
      <c r="K149"/>
      <c r="L149"/>
      <c r="M149"/>
      <c r="N149"/>
      <c r="O149"/>
      <c r="P149"/>
      <c r="Q149"/>
      <c r="R149"/>
      <c r="S149"/>
    </row>
    <row r="150" spans="1:19" s="99" customFormat="1">
      <c r="A150"/>
      <c r="C150"/>
      <c r="E150"/>
      <c r="F150"/>
      <c r="G150"/>
      <c r="H150"/>
      <c r="I150"/>
      <c r="J150"/>
      <c r="K150"/>
      <c r="L150"/>
      <c r="M150"/>
      <c r="N150"/>
      <c r="O150"/>
      <c r="P150"/>
      <c r="Q150"/>
      <c r="R150"/>
      <c r="S150"/>
    </row>
    <row r="151" spans="1:19" s="99" customFormat="1">
      <c r="A151"/>
      <c r="C151"/>
      <c r="E151"/>
      <c r="F151"/>
      <c r="G151"/>
      <c r="H151"/>
      <c r="I151"/>
      <c r="J151"/>
      <c r="K151"/>
      <c r="L151"/>
      <c r="M151"/>
      <c r="N151"/>
      <c r="O151"/>
      <c r="P151"/>
      <c r="Q151"/>
      <c r="R151"/>
      <c r="S151"/>
    </row>
    <row r="152" spans="1:19" s="99" customFormat="1">
      <c r="A152"/>
      <c r="C152"/>
      <c r="E152"/>
      <c r="F152"/>
      <c r="G152"/>
      <c r="H152"/>
      <c r="I152"/>
      <c r="J152"/>
      <c r="K152"/>
      <c r="L152"/>
      <c r="M152"/>
      <c r="N152"/>
      <c r="O152"/>
      <c r="P152"/>
      <c r="Q152"/>
      <c r="R152"/>
      <c r="S152"/>
    </row>
    <row r="153" spans="1:19" s="99" customFormat="1">
      <c r="A153"/>
      <c r="C153"/>
      <c r="E153"/>
      <c r="F153"/>
      <c r="G153"/>
      <c r="H153"/>
      <c r="I153"/>
      <c r="J153"/>
      <c r="K153"/>
      <c r="L153"/>
      <c r="M153"/>
      <c r="N153"/>
      <c r="O153"/>
      <c r="P153"/>
      <c r="Q153"/>
      <c r="R153"/>
      <c r="S153"/>
    </row>
    <row r="154" spans="1:19" s="99" customFormat="1">
      <c r="A154"/>
      <c r="C154"/>
      <c r="E154"/>
      <c r="F154"/>
      <c r="G154"/>
      <c r="H154"/>
      <c r="I154"/>
      <c r="J154"/>
      <c r="K154"/>
      <c r="L154"/>
      <c r="M154"/>
      <c r="N154"/>
      <c r="O154"/>
      <c r="P154"/>
      <c r="Q154"/>
      <c r="R154"/>
      <c r="S154"/>
    </row>
    <row r="155" spans="1:19" s="99" customFormat="1">
      <c r="A155"/>
      <c r="C155"/>
      <c r="E155"/>
      <c r="F155"/>
      <c r="G155"/>
      <c r="H155"/>
      <c r="I155"/>
      <c r="J155"/>
      <c r="K155"/>
      <c r="L155"/>
      <c r="M155"/>
      <c r="N155"/>
      <c r="O155"/>
      <c r="P155"/>
      <c r="Q155"/>
      <c r="R155"/>
      <c r="S155"/>
    </row>
    <row r="156" spans="1:19" s="99" customFormat="1">
      <c r="A156"/>
      <c r="C156"/>
      <c r="E156"/>
      <c r="F156"/>
      <c r="G156"/>
      <c r="H156"/>
      <c r="I156"/>
      <c r="J156"/>
      <c r="K156"/>
      <c r="L156"/>
      <c r="M156"/>
      <c r="N156"/>
      <c r="O156"/>
      <c r="P156"/>
      <c r="Q156"/>
      <c r="R156"/>
      <c r="S156"/>
    </row>
    <row r="157" spans="1:19" s="99" customFormat="1">
      <c r="A157"/>
      <c r="C157"/>
      <c r="E157"/>
      <c r="F157"/>
      <c r="G157"/>
      <c r="H157"/>
      <c r="I157"/>
      <c r="J157"/>
      <c r="K157"/>
      <c r="L157"/>
      <c r="M157"/>
      <c r="N157"/>
      <c r="O157"/>
      <c r="P157"/>
      <c r="Q157"/>
      <c r="R157"/>
      <c r="S157"/>
    </row>
    <row r="158" spans="1:19" s="99" customFormat="1">
      <c r="A158"/>
      <c r="C158"/>
      <c r="E158"/>
      <c r="F158"/>
      <c r="G158"/>
      <c r="H158"/>
      <c r="I158"/>
      <c r="J158"/>
      <c r="K158"/>
      <c r="L158"/>
      <c r="M158"/>
      <c r="N158"/>
      <c r="O158"/>
      <c r="P158"/>
      <c r="Q158"/>
      <c r="R158"/>
      <c r="S158"/>
    </row>
    <row r="159" spans="1:19" s="99" customFormat="1">
      <c r="A159"/>
      <c r="C159"/>
      <c r="E159"/>
      <c r="F159"/>
      <c r="G159"/>
      <c r="H159"/>
      <c r="I159"/>
      <c r="J159"/>
      <c r="K159"/>
      <c r="L159"/>
      <c r="M159"/>
      <c r="N159"/>
      <c r="O159"/>
      <c r="P159"/>
      <c r="Q159"/>
      <c r="R159"/>
      <c r="S159"/>
    </row>
    <row r="160" spans="1:19" s="99" customFormat="1">
      <c r="A160"/>
      <c r="C160"/>
      <c r="E160"/>
      <c r="F160"/>
      <c r="G160"/>
      <c r="H160"/>
      <c r="I160"/>
      <c r="J160"/>
      <c r="K160"/>
      <c r="L160"/>
      <c r="M160"/>
      <c r="N160"/>
      <c r="O160"/>
      <c r="P160"/>
      <c r="Q160"/>
      <c r="R160"/>
      <c r="S160"/>
    </row>
    <row r="161" spans="1:19" s="99" customFormat="1">
      <c r="A161"/>
      <c r="C161"/>
      <c r="E161"/>
      <c r="F161"/>
      <c r="G161"/>
      <c r="H161"/>
      <c r="I161"/>
      <c r="J161"/>
      <c r="K161"/>
      <c r="L161"/>
      <c r="M161"/>
      <c r="N161"/>
      <c r="O161"/>
      <c r="P161"/>
      <c r="Q161"/>
      <c r="R161"/>
      <c r="S161"/>
    </row>
    <row r="162" spans="1:19" s="99" customFormat="1">
      <c r="A162"/>
      <c r="C162"/>
      <c r="E162"/>
      <c r="F162"/>
      <c r="G162"/>
      <c r="H162"/>
      <c r="I162"/>
      <c r="J162"/>
      <c r="K162"/>
      <c r="L162"/>
      <c r="M162"/>
      <c r="N162"/>
      <c r="O162"/>
      <c r="P162"/>
      <c r="Q162"/>
      <c r="R162"/>
      <c r="S162"/>
    </row>
    <row r="163" spans="1:19" s="99" customFormat="1">
      <c r="A163"/>
      <c r="C163"/>
      <c r="E163"/>
      <c r="F163"/>
      <c r="G163"/>
      <c r="H163"/>
      <c r="I163"/>
      <c r="J163"/>
      <c r="K163"/>
      <c r="L163"/>
      <c r="M163"/>
      <c r="N163"/>
      <c r="O163"/>
      <c r="P163"/>
      <c r="Q163"/>
      <c r="R163"/>
      <c r="S163"/>
    </row>
    <row r="164" spans="1:19" s="99" customFormat="1">
      <c r="A164"/>
      <c r="C164"/>
      <c r="E164"/>
      <c r="F164"/>
      <c r="G164"/>
      <c r="H164"/>
      <c r="I164"/>
      <c r="J164"/>
      <c r="K164"/>
      <c r="L164"/>
      <c r="M164"/>
      <c r="N164"/>
      <c r="O164"/>
      <c r="P164"/>
      <c r="Q164"/>
      <c r="R164"/>
      <c r="S164"/>
    </row>
    <row r="165" spans="1:19" s="99" customFormat="1">
      <c r="A165"/>
      <c r="C165"/>
      <c r="E165"/>
      <c r="F165"/>
      <c r="G165"/>
      <c r="H165"/>
      <c r="I165"/>
      <c r="J165"/>
      <c r="K165"/>
      <c r="L165"/>
      <c r="M165"/>
      <c r="N165"/>
      <c r="O165"/>
      <c r="P165"/>
      <c r="Q165"/>
      <c r="R165"/>
      <c r="S165"/>
    </row>
    <row r="166" spans="1:19" s="99" customFormat="1">
      <c r="A166"/>
      <c r="C166"/>
      <c r="E166"/>
      <c r="F166"/>
      <c r="G166"/>
      <c r="H166"/>
      <c r="I166"/>
      <c r="J166"/>
      <c r="K166"/>
      <c r="L166"/>
      <c r="M166"/>
      <c r="N166"/>
      <c r="O166"/>
      <c r="P166"/>
      <c r="Q166"/>
      <c r="R166"/>
      <c r="S166"/>
    </row>
    <row r="167" spans="1:19" s="99" customFormat="1">
      <c r="A167"/>
      <c r="C167"/>
      <c r="E167"/>
      <c r="F167"/>
      <c r="G167"/>
      <c r="H167"/>
      <c r="I167"/>
      <c r="J167"/>
      <c r="K167"/>
      <c r="L167"/>
      <c r="M167"/>
      <c r="N167"/>
      <c r="O167"/>
      <c r="P167"/>
      <c r="Q167"/>
      <c r="R167"/>
      <c r="S167"/>
    </row>
    <row r="168" spans="1:19" s="99" customFormat="1">
      <c r="A168"/>
      <c r="C168"/>
      <c r="E168"/>
      <c r="F168"/>
      <c r="G168"/>
      <c r="H168"/>
      <c r="I168"/>
      <c r="J168"/>
      <c r="K168"/>
      <c r="L168"/>
      <c r="M168"/>
      <c r="N168"/>
      <c r="O168"/>
      <c r="P168"/>
      <c r="Q168"/>
      <c r="R168"/>
      <c r="S168"/>
    </row>
    <row r="169" spans="1:19" s="99" customFormat="1">
      <c r="A169"/>
      <c r="C169"/>
      <c r="E169"/>
      <c r="F169"/>
      <c r="G169"/>
      <c r="H169"/>
      <c r="I169"/>
      <c r="J169"/>
      <c r="K169"/>
      <c r="L169"/>
      <c r="M169"/>
      <c r="N169"/>
      <c r="O169"/>
      <c r="P169"/>
      <c r="Q169"/>
      <c r="R169"/>
      <c r="S169"/>
    </row>
    <row r="170" spans="1:19" s="99" customFormat="1">
      <c r="A170"/>
      <c r="C170"/>
      <c r="E170"/>
      <c r="F170"/>
      <c r="G170"/>
      <c r="H170"/>
      <c r="I170"/>
      <c r="J170"/>
      <c r="K170"/>
      <c r="L170"/>
      <c r="M170"/>
      <c r="N170"/>
      <c r="O170"/>
      <c r="P170"/>
      <c r="Q170"/>
      <c r="R170"/>
      <c r="S170"/>
    </row>
    <row r="171" spans="1:19" s="99" customFormat="1">
      <c r="A171"/>
      <c r="C171"/>
      <c r="E171"/>
      <c r="F171"/>
      <c r="G171"/>
      <c r="H171"/>
      <c r="I171"/>
      <c r="J171"/>
      <c r="K171"/>
      <c r="L171"/>
      <c r="M171"/>
      <c r="N171"/>
      <c r="O171"/>
      <c r="P171"/>
      <c r="Q171"/>
      <c r="R171"/>
      <c r="S171"/>
    </row>
    <row r="172" spans="1:19" s="99" customFormat="1">
      <c r="A172"/>
      <c r="C172"/>
      <c r="E172"/>
      <c r="F172"/>
      <c r="G172"/>
      <c r="H172"/>
      <c r="I172"/>
      <c r="J172"/>
      <c r="K172"/>
      <c r="L172"/>
      <c r="M172"/>
      <c r="N172"/>
      <c r="O172"/>
      <c r="P172"/>
      <c r="Q172"/>
      <c r="R172"/>
      <c r="S172"/>
    </row>
    <row r="173" spans="1:19" s="99" customFormat="1">
      <c r="A173"/>
      <c r="C173"/>
      <c r="E173"/>
      <c r="F173"/>
      <c r="G173"/>
      <c r="H173"/>
      <c r="I173"/>
      <c r="J173"/>
      <c r="K173"/>
      <c r="L173"/>
      <c r="M173"/>
      <c r="N173"/>
      <c r="O173"/>
      <c r="P173"/>
      <c r="Q173"/>
      <c r="R173"/>
      <c r="S173"/>
    </row>
    <row r="174" spans="1:19" s="99" customFormat="1">
      <c r="A174"/>
      <c r="C174"/>
      <c r="E174"/>
      <c r="F174"/>
      <c r="G174"/>
      <c r="H174"/>
      <c r="I174"/>
      <c r="J174"/>
      <c r="K174"/>
      <c r="L174"/>
      <c r="M174"/>
      <c r="N174"/>
      <c r="O174"/>
      <c r="P174"/>
      <c r="Q174"/>
      <c r="R174"/>
      <c r="S174"/>
    </row>
    <row r="175" spans="1:19" s="99" customFormat="1">
      <c r="A175"/>
      <c r="C175"/>
      <c r="E175"/>
      <c r="F175"/>
      <c r="G175"/>
      <c r="H175"/>
      <c r="I175"/>
      <c r="J175"/>
      <c r="K175"/>
      <c r="L175"/>
      <c r="M175"/>
      <c r="N175"/>
      <c r="O175"/>
      <c r="P175"/>
      <c r="Q175"/>
      <c r="R175"/>
      <c r="S175"/>
    </row>
    <row r="176" spans="1:19" s="99" customFormat="1">
      <c r="A176"/>
      <c r="C176"/>
      <c r="E176"/>
      <c r="F176"/>
      <c r="G176"/>
      <c r="H176"/>
      <c r="I176"/>
      <c r="J176"/>
      <c r="K176"/>
      <c r="L176"/>
      <c r="M176"/>
      <c r="N176"/>
      <c r="O176"/>
      <c r="P176"/>
      <c r="Q176"/>
      <c r="R176"/>
      <c r="S176"/>
    </row>
    <row r="177" spans="1:19" s="99" customFormat="1">
      <c r="A177"/>
      <c r="C177"/>
      <c r="E177"/>
      <c r="F177"/>
      <c r="G177"/>
      <c r="H177"/>
      <c r="I177"/>
      <c r="J177"/>
      <c r="K177"/>
      <c r="L177"/>
      <c r="M177"/>
      <c r="N177"/>
      <c r="O177"/>
      <c r="P177"/>
      <c r="Q177"/>
      <c r="R177"/>
      <c r="S177"/>
    </row>
    <row r="178" spans="1:19" s="99" customFormat="1">
      <c r="A178"/>
      <c r="C178"/>
      <c r="E178"/>
      <c r="F178"/>
      <c r="G178"/>
      <c r="H178"/>
      <c r="I178"/>
      <c r="J178"/>
      <c r="K178"/>
      <c r="L178"/>
      <c r="M178"/>
      <c r="N178"/>
      <c r="O178"/>
      <c r="P178"/>
      <c r="Q178"/>
      <c r="R178"/>
      <c r="S178"/>
    </row>
    <row r="179" spans="1:19" s="99" customFormat="1">
      <c r="A179"/>
      <c r="C179"/>
      <c r="E179"/>
      <c r="F179"/>
      <c r="G179"/>
      <c r="H179"/>
      <c r="I179"/>
      <c r="J179"/>
      <c r="K179"/>
      <c r="L179"/>
      <c r="M179"/>
      <c r="N179"/>
      <c r="O179"/>
      <c r="P179"/>
      <c r="Q179"/>
      <c r="R179"/>
      <c r="S179"/>
    </row>
    <row r="180" spans="1:19" s="99" customFormat="1">
      <c r="A180"/>
      <c r="C180"/>
      <c r="E180"/>
      <c r="F180"/>
      <c r="G180"/>
      <c r="H180"/>
      <c r="I180"/>
      <c r="J180"/>
      <c r="K180"/>
      <c r="L180"/>
      <c r="M180"/>
      <c r="N180"/>
      <c r="O180"/>
      <c r="P180"/>
      <c r="Q180"/>
      <c r="R180"/>
      <c r="S180"/>
    </row>
    <row r="181" spans="1:19" s="99" customFormat="1">
      <c r="A181"/>
      <c r="C181"/>
      <c r="E181"/>
      <c r="F181"/>
      <c r="G181"/>
      <c r="H181"/>
      <c r="I181"/>
      <c r="J181"/>
      <c r="K181"/>
      <c r="L181"/>
      <c r="M181"/>
      <c r="N181"/>
      <c r="O181"/>
      <c r="P181"/>
      <c r="Q181"/>
      <c r="R181"/>
      <c r="S181"/>
    </row>
    <row r="182" spans="1:19" s="99" customFormat="1">
      <c r="A182"/>
      <c r="C182"/>
      <c r="E182"/>
      <c r="F182"/>
      <c r="G182"/>
      <c r="H182"/>
      <c r="I182"/>
      <c r="J182"/>
      <c r="K182"/>
      <c r="L182"/>
      <c r="M182"/>
      <c r="N182"/>
      <c r="O182"/>
      <c r="P182"/>
      <c r="Q182"/>
      <c r="R182"/>
      <c r="S182"/>
    </row>
    <row r="183" spans="1:19" s="99" customFormat="1">
      <c r="A183"/>
      <c r="C183"/>
      <c r="E183"/>
      <c r="F183"/>
      <c r="G183"/>
      <c r="H183"/>
      <c r="I183"/>
      <c r="J183"/>
      <c r="K183"/>
      <c r="L183"/>
      <c r="M183"/>
      <c r="N183"/>
      <c r="O183"/>
      <c r="P183"/>
      <c r="Q183"/>
      <c r="R183"/>
      <c r="S183"/>
    </row>
    <row r="184" spans="1:19" s="99" customFormat="1">
      <c r="A184"/>
      <c r="C184"/>
      <c r="E184"/>
      <c r="F184"/>
      <c r="G184"/>
      <c r="H184"/>
      <c r="I184"/>
      <c r="J184"/>
      <c r="K184"/>
      <c r="L184"/>
      <c r="M184"/>
      <c r="N184"/>
      <c r="O184"/>
      <c r="P184"/>
      <c r="Q184"/>
      <c r="R184"/>
      <c r="S184"/>
    </row>
    <row r="185" spans="1:19" s="99" customFormat="1">
      <c r="A185"/>
      <c r="C185"/>
      <c r="E185"/>
      <c r="F185"/>
      <c r="G185"/>
      <c r="H185"/>
      <c r="I185"/>
      <c r="J185"/>
      <c r="K185"/>
      <c r="L185"/>
      <c r="M185"/>
      <c r="N185"/>
      <c r="O185"/>
      <c r="P185"/>
      <c r="Q185"/>
      <c r="R185"/>
      <c r="S185"/>
    </row>
    <row r="186" spans="1:19" s="99" customFormat="1">
      <c r="A186"/>
      <c r="C186"/>
      <c r="E186"/>
      <c r="F186"/>
      <c r="G186"/>
      <c r="H186"/>
      <c r="I186"/>
      <c r="J186"/>
      <c r="K186"/>
      <c r="L186"/>
      <c r="M186"/>
      <c r="N186"/>
      <c r="O186"/>
      <c r="P186"/>
      <c r="Q186"/>
      <c r="R186"/>
      <c r="S186"/>
    </row>
    <row r="187" spans="1:19" s="99" customFormat="1">
      <c r="A187"/>
      <c r="C187"/>
      <c r="E187"/>
      <c r="F187"/>
      <c r="G187"/>
      <c r="H187"/>
      <c r="I187"/>
      <c r="J187"/>
      <c r="K187"/>
      <c r="L187"/>
      <c r="M187"/>
      <c r="N187"/>
      <c r="O187"/>
      <c r="P187"/>
      <c r="Q187"/>
      <c r="R187"/>
      <c r="S187"/>
    </row>
    <row r="188" spans="1:19" s="99" customFormat="1">
      <c r="A188"/>
      <c r="C188"/>
      <c r="E188"/>
      <c r="F188"/>
      <c r="G188"/>
      <c r="H188"/>
      <c r="I188"/>
      <c r="J188"/>
      <c r="K188"/>
      <c r="L188"/>
      <c r="M188"/>
      <c r="N188"/>
      <c r="O188"/>
      <c r="P188"/>
      <c r="Q188"/>
      <c r="R188"/>
      <c r="S188"/>
    </row>
    <row r="189" spans="1:19" s="99" customFormat="1">
      <c r="A189"/>
      <c r="C189"/>
      <c r="E189"/>
      <c r="F189"/>
      <c r="G189"/>
      <c r="H189"/>
      <c r="I189"/>
      <c r="J189"/>
      <c r="K189"/>
      <c r="L189"/>
      <c r="M189"/>
      <c r="N189"/>
      <c r="O189"/>
      <c r="P189"/>
      <c r="Q189"/>
      <c r="R189"/>
      <c r="S189"/>
    </row>
    <row r="190" spans="1:19" s="99" customFormat="1">
      <c r="A190"/>
      <c r="C190"/>
      <c r="E190"/>
      <c r="F190"/>
      <c r="G190"/>
      <c r="H190"/>
      <c r="I190"/>
      <c r="J190"/>
      <c r="K190"/>
      <c r="L190"/>
      <c r="M190"/>
      <c r="N190"/>
      <c r="O190"/>
      <c r="P190"/>
      <c r="Q190"/>
      <c r="R190"/>
      <c r="S190"/>
    </row>
    <row r="191" spans="1:19" s="99" customFormat="1">
      <c r="A191"/>
      <c r="C191"/>
      <c r="E191"/>
      <c r="F191"/>
      <c r="G191"/>
      <c r="H191"/>
      <c r="I191"/>
      <c r="J191"/>
      <c r="K191"/>
      <c r="L191"/>
      <c r="M191"/>
      <c r="N191"/>
      <c r="O191"/>
      <c r="P191"/>
      <c r="Q191"/>
      <c r="R191"/>
      <c r="S191"/>
    </row>
    <row r="192" spans="1:19" s="99" customFormat="1">
      <c r="A192"/>
      <c r="C192"/>
      <c r="E192"/>
      <c r="F192"/>
      <c r="G192"/>
      <c r="H192"/>
      <c r="I192"/>
      <c r="J192"/>
      <c r="K192"/>
      <c r="L192"/>
      <c r="M192"/>
      <c r="N192"/>
      <c r="O192"/>
      <c r="P192"/>
      <c r="Q192"/>
      <c r="R192"/>
      <c r="S192"/>
    </row>
    <row r="193" spans="1:19" s="99" customFormat="1">
      <c r="A193"/>
      <c r="C193"/>
      <c r="E193"/>
      <c r="F193"/>
      <c r="G193"/>
      <c r="H193"/>
      <c r="I193"/>
      <c r="J193"/>
      <c r="K193"/>
      <c r="L193"/>
      <c r="M193"/>
      <c r="N193"/>
      <c r="O193"/>
      <c r="P193"/>
      <c r="Q193"/>
      <c r="R193"/>
      <c r="S193"/>
    </row>
    <row r="194" spans="1:19" s="99" customFormat="1">
      <c r="A194"/>
      <c r="C194"/>
      <c r="E194"/>
      <c r="F194"/>
      <c r="G194"/>
      <c r="H194"/>
      <c r="I194"/>
      <c r="J194"/>
      <c r="K194"/>
      <c r="L194"/>
      <c r="M194"/>
      <c r="N194"/>
      <c r="O194"/>
      <c r="P194"/>
      <c r="Q194"/>
      <c r="R194"/>
      <c r="S194"/>
    </row>
    <row r="195" spans="1:19" s="99" customFormat="1">
      <c r="A195"/>
      <c r="C195"/>
      <c r="E195"/>
      <c r="F195"/>
      <c r="G195"/>
      <c r="H195"/>
      <c r="I195"/>
      <c r="J195"/>
      <c r="K195"/>
      <c r="L195"/>
      <c r="M195"/>
      <c r="N195"/>
      <c r="O195"/>
      <c r="P195"/>
      <c r="Q195"/>
      <c r="R195"/>
      <c r="S195"/>
    </row>
    <row r="196" spans="1:19" s="99" customFormat="1">
      <c r="A196"/>
      <c r="C196"/>
      <c r="E196"/>
      <c r="F196"/>
      <c r="G196"/>
      <c r="H196"/>
      <c r="I196"/>
      <c r="J196"/>
      <c r="K196"/>
      <c r="L196"/>
      <c r="M196"/>
      <c r="N196"/>
      <c r="O196"/>
      <c r="P196"/>
      <c r="Q196"/>
      <c r="R196"/>
      <c r="S196"/>
    </row>
    <row r="197" spans="1:19" s="99" customFormat="1">
      <c r="A197"/>
      <c r="C197"/>
      <c r="E197"/>
      <c r="F197"/>
      <c r="G197"/>
      <c r="H197"/>
      <c r="I197"/>
      <c r="J197"/>
      <c r="K197"/>
      <c r="L197"/>
      <c r="M197"/>
      <c r="N197"/>
      <c r="O197"/>
      <c r="P197"/>
      <c r="Q197"/>
      <c r="R197"/>
      <c r="S197"/>
    </row>
    <row r="198" spans="1:19" s="99" customFormat="1">
      <c r="A198"/>
      <c r="C198"/>
      <c r="E198"/>
      <c r="F198"/>
      <c r="G198"/>
      <c r="H198"/>
      <c r="I198"/>
      <c r="J198"/>
      <c r="K198"/>
      <c r="L198"/>
      <c r="M198"/>
      <c r="N198"/>
      <c r="O198"/>
      <c r="P198"/>
      <c r="Q198"/>
      <c r="R198"/>
      <c r="S198"/>
    </row>
    <row r="199" spans="1:19" s="99" customFormat="1">
      <c r="A199"/>
      <c r="C199"/>
      <c r="E199"/>
      <c r="F199"/>
      <c r="G199"/>
      <c r="H199"/>
      <c r="I199"/>
      <c r="J199"/>
      <c r="K199"/>
      <c r="L199"/>
      <c r="M199"/>
      <c r="N199"/>
      <c r="O199"/>
      <c r="P199"/>
      <c r="Q199"/>
      <c r="R199"/>
      <c r="S199"/>
    </row>
    <row r="200" spans="1:19" s="99" customFormat="1">
      <c r="A200"/>
      <c r="C200"/>
      <c r="E200"/>
      <c r="F200"/>
      <c r="G200"/>
      <c r="H200"/>
      <c r="I200"/>
      <c r="J200"/>
      <c r="K200"/>
      <c r="L200"/>
      <c r="M200"/>
      <c r="N200"/>
      <c r="O200"/>
      <c r="P200"/>
      <c r="Q200"/>
      <c r="R200"/>
      <c r="S200"/>
    </row>
    <row r="201" spans="1:19" s="99" customFormat="1">
      <c r="A201"/>
      <c r="C201"/>
      <c r="E201"/>
      <c r="F201"/>
      <c r="G201"/>
      <c r="H201"/>
      <c r="I201"/>
      <c r="J201"/>
      <c r="K201"/>
      <c r="L201"/>
      <c r="M201"/>
      <c r="N201"/>
      <c r="O201"/>
      <c r="P201"/>
      <c r="Q201"/>
      <c r="R201"/>
      <c r="S201"/>
    </row>
    <row r="202" spans="1:19" s="99" customFormat="1">
      <c r="A202"/>
      <c r="C202"/>
      <c r="E202"/>
      <c r="F202"/>
      <c r="G202"/>
      <c r="H202"/>
      <c r="I202"/>
      <c r="J202"/>
      <c r="K202"/>
      <c r="L202"/>
      <c r="M202"/>
      <c r="N202"/>
      <c r="O202"/>
      <c r="P202"/>
      <c r="Q202"/>
      <c r="R202"/>
      <c r="S202"/>
    </row>
    <row r="203" spans="1:19" s="99" customFormat="1">
      <c r="A203"/>
      <c r="C203"/>
      <c r="E203"/>
      <c r="F203"/>
      <c r="G203"/>
      <c r="H203"/>
      <c r="I203"/>
      <c r="J203"/>
      <c r="K203"/>
      <c r="L203"/>
      <c r="M203"/>
      <c r="N203"/>
      <c r="O203"/>
      <c r="P203"/>
      <c r="Q203"/>
      <c r="R203"/>
      <c r="S203"/>
    </row>
    <row r="204" spans="1:19" s="99" customFormat="1">
      <c r="A204"/>
      <c r="C204"/>
      <c r="E204"/>
      <c r="F204"/>
      <c r="G204"/>
      <c r="H204"/>
      <c r="I204"/>
      <c r="J204"/>
      <c r="K204"/>
      <c r="L204"/>
      <c r="M204"/>
      <c r="N204"/>
      <c r="O204"/>
      <c r="P204"/>
      <c r="Q204"/>
      <c r="R204"/>
      <c r="S204"/>
    </row>
    <row r="205" spans="1:19" s="99" customFormat="1">
      <c r="A205"/>
      <c r="C205"/>
      <c r="E205"/>
      <c r="F205"/>
      <c r="G205"/>
      <c r="H205"/>
      <c r="I205"/>
      <c r="J205"/>
      <c r="K205"/>
      <c r="L205"/>
      <c r="M205"/>
      <c r="N205"/>
      <c r="O205"/>
      <c r="P205"/>
      <c r="Q205"/>
      <c r="R205"/>
      <c r="S205"/>
    </row>
    <row r="206" spans="1:19" s="99" customFormat="1">
      <c r="A206"/>
      <c r="C206"/>
      <c r="E206"/>
      <c r="F206"/>
      <c r="G206"/>
      <c r="H206"/>
      <c r="I206"/>
      <c r="J206"/>
      <c r="K206"/>
      <c r="L206"/>
      <c r="M206"/>
      <c r="N206"/>
      <c r="O206"/>
      <c r="P206"/>
      <c r="Q206"/>
      <c r="R206"/>
      <c r="S206"/>
    </row>
    <row r="207" spans="1:19" s="99" customFormat="1">
      <c r="A207"/>
      <c r="C207"/>
      <c r="E207"/>
      <c r="F207"/>
      <c r="G207"/>
      <c r="H207"/>
      <c r="I207"/>
      <c r="J207"/>
      <c r="K207"/>
      <c r="L207"/>
      <c r="M207"/>
      <c r="N207"/>
      <c r="O207"/>
      <c r="P207"/>
      <c r="Q207"/>
      <c r="R207"/>
      <c r="S207"/>
    </row>
    <row r="208" spans="1:19" s="99" customFormat="1">
      <c r="A208"/>
      <c r="C208"/>
      <c r="E208"/>
      <c r="F208"/>
      <c r="G208"/>
      <c r="H208"/>
      <c r="I208"/>
      <c r="J208"/>
      <c r="K208"/>
      <c r="L208"/>
      <c r="M208"/>
      <c r="N208"/>
      <c r="O208"/>
      <c r="P208"/>
      <c r="Q208"/>
      <c r="R208"/>
      <c r="S208"/>
    </row>
    <row r="209" spans="1:19" s="99" customFormat="1">
      <c r="A209"/>
      <c r="C209"/>
      <c r="E209"/>
      <c r="F209"/>
      <c r="G209"/>
      <c r="H209"/>
      <c r="I209"/>
      <c r="J209"/>
      <c r="K209"/>
      <c r="L209"/>
      <c r="M209"/>
      <c r="N209"/>
      <c r="O209"/>
      <c r="P209"/>
      <c r="Q209"/>
      <c r="R209"/>
      <c r="S209"/>
    </row>
    <row r="210" spans="1:19" s="99" customFormat="1">
      <c r="A210"/>
      <c r="C210"/>
      <c r="E210"/>
      <c r="F210"/>
      <c r="G210"/>
      <c r="H210"/>
      <c r="I210"/>
      <c r="J210"/>
      <c r="K210"/>
      <c r="L210"/>
      <c r="M210"/>
      <c r="N210"/>
      <c r="O210"/>
      <c r="P210"/>
      <c r="Q210"/>
      <c r="R210"/>
      <c r="S210"/>
    </row>
    <row r="211" spans="1:19" s="99" customFormat="1">
      <c r="A211"/>
      <c r="C211"/>
      <c r="E211"/>
      <c r="F211"/>
      <c r="G211"/>
      <c r="H211"/>
      <c r="I211"/>
      <c r="J211"/>
      <c r="K211"/>
      <c r="L211"/>
      <c r="M211"/>
      <c r="N211"/>
      <c r="O211"/>
      <c r="P211"/>
      <c r="Q211"/>
      <c r="R211"/>
      <c r="S211"/>
    </row>
    <row r="212" spans="1:19" s="99" customFormat="1">
      <c r="A212"/>
      <c r="C212"/>
      <c r="E212"/>
      <c r="F212"/>
      <c r="G212"/>
      <c r="H212"/>
      <c r="I212"/>
      <c r="J212"/>
      <c r="K212"/>
      <c r="L212"/>
      <c r="M212"/>
      <c r="N212"/>
      <c r="O212"/>
      <c r="P212"/>
      <c r="Q212"/>
      <c r="R212"/>
      <c r="S212"/>
    </row>
    <row r="213" spans="1:19" s="99" customFormat="1">
      <c r="A213"/>
      <c r="C213"/>
      <c r="E213"/>
      <c r="F213"/>
      <c r="G213"/>
      <c r="H213"/>
      <c r="I213"/>
      <c r="J213"/>
      <c r="K213"/>
      <c r="L213"/>
      <c r="M213"/>
      <c r="N213"/>
      <c r="O213"/>
      <c r="P213"/>
      <c r="Q213"/>
      <c r="R213"/>
      <c r="S213"/>
    </row>
    <row r="214" spans="1:19" s="99" customFormat="1">
      <c r="A214"/>
      <c r="C214"/>
      <c r="E214"/>
      <c r="F214"/>
      <c r="G214"/>
      <c r="H214"/>
      <c r="I214"/>
      <c r="J214"/>
      <c r="K214"/>
      <c r="L214"/>
      <c r="M214"/>
      <c r="N214"/>
      <c r="O214"/>
      <c r="P214"/>
      <c r="Q214"/>
      <c r="R214"/>
      <c r="S214"/>
    </row>
    <row r="215" spans="1:19" s="99" customFormat="1">
      <c r="A215"/>
      <c r="C215"/>
      <c r="E215"/>
      <c r="F215"/>
      <c r="G215"/>
      <c r="H215"/>
      <c r="I215"/>
      <c r="J215"/>
      <c r="K215"/>
      <c r="L215"/>
      <c r="M215"/>
      <c r="N215"/>
      <c r="O215"/>
      <c r="P215"/>
      <c r="Q215"/>
      <c r="R215"/>
      <c r="S215"/>
    </row>
    <row r="216" spans="1:19" s="99" customFormat="1">
      <c r="A216"/>
      <c r="C216"/>
      <c r="E216"/>
      <c r="F216"/>
      <c r="G216"/>
      <c r="H216"/>
      <c r="I216"/>
      <c r="J216"/>
      <c r="K216"/>
      <c r="L216"/>
      <c r="M216"/>
      <c r="N216"/>
      <c r="O216"/>
      <c r="P216"/>
      <c r="Q216"/>
      <c r="R216"/>
      <c r="S216"/>
    </row>
    <row r="217" spans="1:19" s="99" customFormat="1">
      <c r="A217"/>
      <c r="C217"/>
      <c r="E217"/>
      <c r="F217"/>
      <c r="G217"/>
      <c r="H217"/>
      <c r="I217"/>
      <c r="J217"/>
      <c r="K217"/>
      <c r="L217"/>
      <c r="M217"/>
      <c r="N217"/>
      <c r="O217"/>
      <c r="P217"/>
      <c r="Q217"/>
      <c r="R217"/>
      <c r="S217"/>
    </row>
    <row r="218" spans="1:19" s="99" customFormat="1">
      <c r="A218"/>
      <c r="C218"/>
      <c r="E218"/>
      <c r="F218"/>
      <c r="G218"/>
      <c r="H218"/>
      <c r="I218"/>
      <c r="J218"/>
      <c r="K218"/>
      <c r="L218"/>
      <c r="M218"/>
      <c r="N218"/>
      <c r="O218"/>
      <c r="P218"/>
      <c r="Q218"/>
      <c r="R218"/>
      <c r="S218"/>
    </row>
  </sheetData>
  <sheetProtection selectLockedCells="1" selectUnlockedCells="1"/>
  <autoFilter ref="A7:C20" xr:uid="{6283B240-0D09-4E93-9375-FD9398109C20}"/>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8584-58FC-4B70-AEE6-EEAC85458CA5}">
  <sheetPr codeName="Sheet25">
    <tabColor rgb="FF009900"/>
  </sheetPr>
  <dimension ref="A1:O16"/>
  <sheetViews>
    <sheetView workbookViewId="0">
      <selection activeCell="D11" sqref="D11"/>
    </sheetView>
  </sheetViews>
  <sheetFormatPr defaultRowHeight="14.4"/>
  <cols>
    <col min="1" max="1" width="16.88671875" bestFit="1" customWidth="1"/>
    <col min="2" max="5" width="11.44140625" customWidth="1"/>
    <col min="6" max="6" width="24" customWidth="1"/>
    <col min="7" max="7" width="15.5546875" bestFit="1" customWidth="1"/>
    <col min="8" max="8" width="12.6640625" customWidth="1"/>
    <col min="9" max="9" width="12.33203125" bestFit="1" customWidth="1"/>
    <col min="10" max="10" width="12.6640625" customWidth="1"/>
  </cols>
  <sheetData>
    <row r="1" spans="1:15" ht="23.4">
      <c r="A1" s="98" t="s">
        <v>196</v>
      </c>
    </row>
    <row r="2" spans="1:15" ht="18">
      <c r="A2" s="106" t="s">
        <v>197</v>
      </c>
      <c r="B2" s="100" t="s">
        <v>198</v>
      </c>
      <c r="C2" s="100"/>
      <c r="D2" s="100" t="s">
        <v>988</v>
      </c>
      <c r="E2" s="100"/>
      <c r="F2" s="100"/>
      <c r="G2" s="106" t="s">
        <v>1013</v>
      </c>
      <c r="N2" t="s">
        <v>864</v>
      </c>
      <c r="O2">
        <f>'[1]Yard Items'!$D$9</f>
        <v>140</v>
      </c>
    </row>
    <row r="3" spans="1:15">
      <c r="A3" s="105"/>
      <c r="B3" s="99"/>
      <c r="C3" s="99"/>
      <c r="D3" s="309">
        <v>45497</v>
      </c>
      <c r="E3" s="99"/>
      <c r="F3" s="99"/>
      <c r="H3" t="s">
        <v>1014</v>
      </c>
      <c r="I3" t="s">
        <v>199</v>
      </c>
      <c r="J3" t="s">
        <v>1015</v>
      </c>
    </row>
    <row r="4" spans="1:15">
      <c r="A4" t="s">
        <v>1218</v>
      </c>
      <c r="B4" s="99">
        <v>58650</v>
      </c>
      <c r="C4" s="518"/>
      <c r="D4" s="518"/>
      <c r="E4" s="518"/>
      <c r="F4" s="518"/>
      <c r="G4" t="str">
        <f t="shared" ref="G4:G11" si="0">+A4</f>
        <v>BARHAM</v>
      </c>
      <c r="H4" s="99">
        <f>+O2+15</f>
        <v>155</v>
      </c>
      <c r="I4" s="99">
        <f t="shared" ref="I4:I11" si="1">+H4*50</f>
        <v>7750</v>
      </c>
      <c r="J4" s="99">
        <f t="shared" ref="J4:J11" si="2">+H4+50</f>
        <v>205</v>
      </c>
    </row>
    <row r="5" spans="1:15">
      <c r="A5" t="s">
        <v>1219</v>
      </c>
      <c r="B5" s="99">
        <v>22390</v>
      </c>
      <c r="C5" s="99"/>
      <c r="D5" s="99"/>
      <c r="E5" s="99"/>
      <c r="F5" s="99"/>
      <c r="G5" t="str">
        <f t="shared" si="0"/>
        <v>BAROOGA</v>
      </c>
      <c r="H5" s="99">
        <f>+O2</f>
        <v>140</v>
      </c>
      <c r="I5" s="99">
        <f t="shared" si="1"/>
        <v>7000</v>
      </c>
      <c r="J5" s="99">
        <f t="shared" si="2"/>
        <v>190</v>
      </c>
    </row>
    <row r="6" spans="1:15">
      <c r="A6" t="s">
        <v>205</v>
      </c>
      <c r="B6" s="99">
        <v>57490</v>
      </c>
      <c r="C6" s="99"/>
      <c r="D6" s="99"/>
      <c r="E6" s="99"/>
      <c r="F6" s="99"/>
      <c r="G6" t="str">
        <f t="shared" si="0"/>
        <v>DENILIQUIN</v>
      </c>
      <c r="H6" s="99">
        <f>+O2+15</f>
        <v>155</v>
      </c>
      <c r="I6" s="99">
        <f t="shared" si="1"/>
        <v>7750</v>
      </c>
      <c r="J6" s="99">
        <f>+H6+50+40</f>
        <v>245</v>
      </c>
    </row>
    <row r="7" spans="1:15">
      <c r="A7" t="s">
        <v>207</v>
      </c>
      <c r="B7" s="99">
        <v>40780</v>
      </c>
      <c r="C7" s="99"/>
      <c r="D7" s="99"/>
      <c r="E7" s="99"/>
      <c r="F7" s="99"/>
      <c r="G7" t="str">
        <f t="shared" si="0"/>
        <v>FINLEY</v>
      </c>
      <c r="H7" s="99">
        <f>+O2+15</f>
        <v>155</v>
      </c>
      <c r="I7" s="99">
        <f t="shared" si="1"/>
        <v>7750</v>
      </c>
      <c r="J7" s="99">
        <f t="shared" si="2"/>
        <v>205</v>
      </c>
    </row>
    <row r="8" spans="1:15">
      <c r="A8" t="s">
        <v>687</v>
      </c>
      <c r="B8" s="99">
        <v>51270</v>
      </c>
      <c r="C8" s="99"/>
      <c r="D8" s="99"/>
      <c r="E8" s="99"/>
      <c r="F8" s="99"/>
      <c r="G8" t="str">
        <f t="shared" si="0"/>
        <v>MATHOURA</v>
      </c>
      <c r="H8" s="99">
        <f>+O2+15</f>
        <v>155</v>
      </c>
      <c r="I8" s="99">
        <f t="shared" si="1"/>
        <v>7750</v>
      </c>
      <c r="J8" s="99">
        <f>+H8+50+40</f>
        <v>245</v>
      </c>
    </row>
    <row r="9" spans="1:15">
      <c r="A9" t="s">
        <v>1220</v>
      </c>
      <c r="B9" s="99">
        <v>21960</v>
      </c>
      <c r="C9" s="99"/>
      <c r="D9" s="99"/>
      <c r="E9" s="99"/>
      <c r="F9" s="99"/>
      <c r="G9" t="str">
        <f t="shared" si="0"/>
        <v>MOAMA</v>
      </c>
      <c r="H9" s="99">
        <v>140</v>
      </c>
      <c r="I9" s="99">
        <f t="shared" si="1"/>
        <v>7000</v>
      </c>
      <c r="J9" s="99">
        <f t="shared" si="2"/>
        <v>190</v>
      </c>
    </row>
    <row r="10" spans="1:15">
      <c r="A10" t="s">
        <v>1221</v>
      </c>
      <c r="B10" s="99">
        <v>23900</v>
      </c>
      <c r="C10" s="99"/>
      <c r="D10" s="99"/>
      <c r="E10" s="99"/>
      <c r="F10" s="99"/>
      <c r="G10" t="str">
        <f t="shared" si="0"/>
        <v>MULWALA</v>
      </c>
      <c r="H10" s="99">
        <f>+O2+5</f>
        <v>145</v>
      </c>
      <c r="I10" s="99">
        <f t="shared" si="1"/>
        <v>7250</v>
      </c>
      <c r="J10" s="99">
        <f t="shared" si="2"/>
        <v>195</v>
      </c>
    </row>
    <row r="11" spans="1:15">
      <c r="A11" t="s">
        <v>1222</v>
      </c>
      <c r="B11" s="99">
        <v>22390</v>
      </c>
      <c r="C11" s="99"/>
      <c r="D11" s="99"/>
      <c r="E11" s="99"/>
      <c r="F11" s="99"/>
      <c r="G11" t="str">
        <f t="shared" si="0"/>
        <v>TOCUMWAL</v>
      </c>
      <c r="H11" s="99">
        <f>+O2+15</f>
        <v>155</v>
      </c>
      <c r="I11" s="99">
        <f t="shared" si="1"/>
        <v>7750</v>
      </c>
      <c r="J11" s="99">
        <f t="shared" si="2"/>
        <v>205</v>
      </c>
    </row>
    <row r="12" spans="1:15" ht="17.399999999999999">
      <c r="A12" s="264" t="s">
        <v>863</v>
      </c>
    </row>
    <row r="13" spans="1:15" ht="17.399999999999999">
      <c r="A13" s="264" t="s">
        <v>1063</v>
      </c>
    </row>
    <row r="15" spans="1:15" ht="21.75" customHeight="1">
      <c r="B15" s="233">
        <f>+SUBTOTAL(9,(B4:B11))</f>
        <v>298830</v>
      </c>
    </row>
    <row r="16" spans="1:15">
      <c r="A16" s="233" t="str">
        <f>_xlfn.XLOOKUP(B15,B4:B11,A4:A11," ",0,1)</f>
        <v xml:space="preserve"> </v>
      </c>
      <c r="B16" s="362">
        <f>IF(A16=" ",0,+SUBTOTAL(9,(B4:B11)))</f>
        <v>0</v>
      </c>
      <c r="H16" s="362">
        <f>IF(A16=" ",0,+SUBTOTAL(9,(H4:H11)))</f>
        <v>0</v>
      </c>
      <c r="I16" s="362">
        <f>IF(A16=" ",0,+SUBTOTAL(9,(I4:I11)))</f>
        <v>0</v>
      </c>
      <c r="J16" s="362">
        <f>IF(A16=" ",0,+SUBTOTAL(9,(J4:J11)))</f>
        <v>0</v>
      </c>
    </row>
  </sheetData>
  <autoFilter ref="A3:A13" xr:uid="{EE382396-C783-4202-9104-AEE98B8039E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8051-9A3E-42C0-9C5D-01C6D9E9DBEF}">
  <sheetPr codeName="Sheet28">
    <tabColor rgb="FF009900"/>
  </sheetPr>
  <dimension ref="A1:AR404"/>
  <sheetViews>
    <sheetView tabSelected="1" topLeftCell="A172" zoomScaleNormal="100" workbookViewId="0">
      <selection activeCell="B259" sqref="B259:C259"/>
    </sheetView>
  </sheetViews>
  <sheetFormatPr defaultColWidth="9.109375" defaultRowHeight="18" customHeight="1"/>
  <cols>
    <col min="1" max="1" width="9.109375" style="373"/>
    <col min="2" max="2" width="11.6640625" style="373" customWidth="1"/>
    <col min="3" max="3" width="53.88671875" style="373" customWidth="1"/>
    <col min="4" max="4" width="9.5546875" style="410" customWidth="1"/>
    <col min="5" max="6" width="9.5546875" style="373" customWidth="1"/>
    <col min="7" max="7" width="9.109375" style="373"/>
    <col min="8" max="8" width="62.6640625" style="373" customWidth="1"/>
    <col min="9" max="9" width="12.6640625" style="373" customWidth="1"/>
    <col min="10" max="10" width="9.33203125" style="373" customWidth="1"/>
    <col min="11" max="11" width="9.109375" style="373" hidden="1" customWidth="1"/>
    <col min="12" max="16" width="14.88671875" style="373" customWidth="1"/>
    <col min="17" max="17" width="29.109375" style="373" hidden="1" customWidth="1"/>
    <col min="18" max="18" width="11.33203125" style="485" hidden="1" customWidth="1"/>
    <col min="19" max="19" width="25.6640625" style="373" hidden="1" customWidth="1"/>
    <col min="20" max="20" width="11.33203125" style="373" hidden="1" customWidth="1"/>
    <col min="21" max="21" width="44.6640625" style="373" hidden="1" customWidth="1"/>
    <col min="22" max="22" width="10.33203125" style="373" hidden="1" customWidth="1"/>
    <col min="23" max="23" width="38" style="373" hidden="1" customWidth="1"/>
    <col min="24" max="24" width="10.33203125" style="373" hidden="1" customWidth="1"/>
    <col min="25" max="25" width="51" style="373" hidden="1" customWidth="1"/>
    <col min="26" max="26" width="10.33203125" style="373" hidden="1" customWidth="1"/>
    <col min="27" max="27" width="25.5546875" style="373" hidden="1" customWidth="1"/>
    <col min="28" max="28" width="10.33203125" style="373" hidden="1" customWidth="1"/>
    <col min="29" max="29" width="36" style="373" hidden="1" customWidth="1"/>
    <col min="30" max="30" width="10.33203125" style="373" hidden="1" customWidth="1"/>
    <col min="31" max="31" width="64.88671875" style="373" hidden="1" customWidth="1"/>
    <col min="32" max="32" width="10.33203125" style="373" hidden="1" customWidth="1"/>
    <col min="33" max="33" width="46.6640625" style="373" hidden="1" customWidth="1"/>
    <col min="34" max="34" width="10.33203125" style="373" hidden="1" customWidth="1"/>
    <col min="35" max="35" width="59" style="373" hidden="1" customWidth="1"/>
    <col min="36" max="36" width="10.33203125" style="373" hidden="1" customWidth="1"/>
    <col min="37" max="37" width="35" style="373" hidden="1" customWidth="1"/>
    <col min="38" max="38" width="10.33203125" style="373" hidden="1" customWidth="1"/>
    <col min="39" max="39" width="61.33203125" style="373" hidden="1" customWidth="1"/>
    <col min="40" max="40" width="10.33203125" style="373" hidden="1" customWidth="1"/>
    <col min="41" max="41" width="34.33203125" style="373" hidden="1" customWidth="1"/>
    <col min="42" max="42" width="11.33203125" style="373" hidden="1" customWidth="1"/>
    <col min="43" max="43" width="57.6640625" style="373" hidden="1" customWidth="1"/>
    <col min="44" max="44" width="11.33203125" style="373" hidden="1" customWidth="1"/>
    <col min="45" max="16384" width="9.109375" style="373"/>
  </cols>
  <sheetData>
    <row r="1" spans="2:10" ht="18" hidden="1" customHeight="1" thickBot="1"/>
    <row r="2" spans="2:10" ht="18" hidden="1" customHeight="1">
      <c r="B2" s="411"/>
      <c r="C2" s="412"/>
      <c r="D2" s="413"/>
      <c r="E2" s="412"/>
      <c r="F2" s="414"/>
    </row>
    <row r="3" spans="2:10" ht="18" hidden="1" customHeight="1">
      <c r="B3" s="415"/>
      <c r="C3" s="376"/>
      <c r="D3" s="416"/>
      <c r="E3" s="376"/>
      <c r="F3" s="417"/>
      <c r="G3" s="376"/>
    </row>
    <row r="4" spans="2:10" ht="39" hidden="1" customHeight="1">
      <c r="B4" s="418" t="s">
        <v>228</v>
      </c>
      <c r="C4" s="376"/>
      <c r="D4" s="419"/>
      <c r="E4" s="379"/>
      <c r="F4" s="420"/>
      <c r="G4" s="376"/>
      <c r="H4" s="376"/>
      <c r="I4" s="376"/>
    </row>
    <row r="5" spans="2:10" ht="11.25" hidden="1" customHeight="1">
      <c r="B5" s="421" t="s">
        <v>229</v>
      </c>
      <c r="C5" s="376"/>
      <c r="E5" s="422" t="s">
        <v>230</v>
      </c>
      <c r="F5" s="417"/>
      <c r="G5" s="379"/>
      <c r="H5" s="376"/>
      <c r="I5" s="376"/>
    </row>
    <row r="6" spans="2:10" ht="11.25" hidden="1" customHeight="1">
      <c r="B6" s="421" t="s">
        <v>231</v>
      </c>
      <c r="C6" s="376"/>
      <c r="E6" s="422" t="s">
        <v>232</v>
      </c>
      <c r="F6" s="417"/>
      <c r="G6" s="379"/>
      <c r="H6" s="376"/>
      <c r="I6" s="376"/>
      <c r="J6" s="376"/>
    </row>
    <row r="7" spans="2:10" ht="13.5" hidden="1" customHeight="1">
      <c r="B7" s="421" t="s">
        <v>233</v>
      </c>
      <c r="C7" s="376"/>
      <c r="E7" s="422" t="s">
        <v>234</v>
      </c>
      <c r="F7" s="417"/>
      <c r="G7" s="379"/>
      <c r="H7" s="376"/>
      <c r="I7" s="376"/>
      <c r="J7" s="376"/>
    </row>
    <row r="8" spans="2:10" ht="18" hidden="1" customHeight="1">
      <c r="B8" s="423"/>
      <c r="C8" s="376"/>
      <c r="D8" s="424"/>
      <c r="E8" s="376"/>
      <c r="F8" s="417"/>
      <c r="G8" s="376"/>
      <c r="H8" s="376"/>
      <c r="I8" s="376"/>
      <c r="J8" s="376"/>
    </row>
    <row r="9" spans="2:10" ht="18" hidden="1" customHeight="1">
      <c r="B9" s="425" t="s">
        <v>235</v>
      </c>
      <c r="C9" s="372">
        <f>+C47</f>
        <v>0</v>
      </c>
      <c r="D9" s="424"/>
      <c r="E9" s="376"/>
      <c r="F9" s="417"/>
      <c r="G9" s="376"/>
      <c r="H9" s="376"/>
      <c r="I9" s="376"/>
      <c r="J9" s="376"/>
    </row>
    <row r="10" spans="2:10" ht="18" hidden="1" customHeight="1">
      <c r="B10" s="423"/>
      <c r="C10" s="376"/>
      <c r="D10" s="424"/>
      <c r="E10" s="376"/>
      <c r="F10" s="417"/>
      <c r="G10" s="376"/>
      <c r="H10" s="376"/>
      <c r="I10" s="376"/>
      <c r="J10" s="376"/>
    </row>
    <row r="11" spans="2:10" ht="18" hidden="1" customHeight="1">
      <c r="B11" s="426" t="s">
        <v>236</v>
      </c>
      <c r="C11" s="376"/>
      <c r="D11" s="424"/>
      <c r="E11" s="376"/>
      <c r="F11" s="417"/>
      <c r="G11" s="376"/>
      <c r="H11" s="376"/>
      <c r="I11" s="376"/>
      <c r="J11" s="376"/>
    </row>
    <row r="12" spans="2:10" ht="18" hidden="1" customHeight="1">
      <c r="B12" s="423"/>
      <c r="C12" s="376"/>
      <c r="D12" s="424"/>
      <c r="E12" s="376"/>
      <c r="F12" s="417"/>
      <c r="G12" s="376"/>
      <c r="H12" s="376"/>
      <c r="I12" s="376"/>
      <c r="J12" s="376"/>
    </row>
    <row r="13" spans="2:10" ht="18" hidden="1" customHeight="1">
      <c r="B13" s="423" t="s">
        <v>237</v>
      </c>
      <c r="C13" s="376"/>
      <c r="D13" s="424"/>
      <c r="E13" s="376"/>
      <c r="F13" s="417"/>
      <c r="G13" s="376"/>
      <c r="H13" s="376"/>
      <c r="I13" s="376"/>
      <c r="J13" s="376"/>
    </row>
    <row r="14" spans="2:10" ht="18" hidden="1" customHeight="1">
      <c r="B14" s="423" t="s">
        <v>238</v>
      </c>
      <c r="C14" s="376"/>
      <c r="D14" s="424"/>
      <c r="E14" s="376"/>
      <c r="F14" s="417"/>
      <c r="G14" s="376"/>
      <c r="H14" s="376"/>
      <c r="I14" s="376"/>
      <c r="J14" s="376"/>
    </row>
    <row r="15" spans="2:10" ht="18" hidden="1" customHeight="1">
      <c r="B15" s="423"/>
      <c r="C15" s="376"/>
      <c r="D15" s="424"/>
      <c r="E15" s="376"/>
      <c r="F15" s="417"/>
      <c r="G15" s="376"/>
      <c r="H15" s="376"/>
      <c r="I15" s="376"/>
      <c r="J15" s="376"/>
    </row>
    <row r="16" spans="2:10" ht="18" hidden="1" customHeight="1">
      <c r="B16" s="423" t="s">
        <v>239</v>
      </c>
      <c r="C16" s="376"/>
      <c r="D16" s="424"/>
      <c r="E16" s="376"/>
      <c r="F16" s="417"/>
      <c r="G16" s="376"/>
      <c r="H16" s="376"/>
      <c r="I16" s="376"/>
      <c r="J16" s="376"/>
    </row>
    <row r="17" spans="2:10" ht="18" hidden="1" customHeight="1">
      <c r="B17" s="371">
        <f>+C51</f>
        <v>0</v>
      </c>
      <c r="C17" s="376"/>
      <c r="D17" s="424"/>
      <c r="E17" s="376"/>
      <c r="F17" s="417"/>
      <c r="G17" s="376"/>
      <c r="H17" s="376"/>
      <c r="I17" s="376"/>
      <c r="J17" s="376"/>
    </row>
    <row r="18" spans="2:10" ht="18" hidden="1" customHeight="1">
      <c r="B18" s="423"/>
      <c r="C18" s="376"/>
      <c r="D18" s="424"/>
      <c r="E18" s="376"/>
      <c r="F18" s="417"/>
      <c r="G18" s="376"/>
      <c r="H18" s="376"/>
      <c r="I18" s="376"/>
      <c r="J18" s="376"/>
    </row>
    <row r="19" spans="2:10" ht="18" hidden="1" customHeight="1">
      <c r="B19" s="423" t="s">
        <v>992</v>
      </c>
      <c r="C19" s="376"/>
      <c r="D19" s="424"/>
      <c r="E19" s="376"/>
      <c r="F19" s="417"/>
      <c r="G19" s="376"/>
      <c r="H19" s="376"/>
      <c r="I19" s="376"/>
      <c r="J19" s="376"/>
    </row>
    <row r="20" spans="2:10" ht="18" hidden="1" customHeight="1">
      <c r="B20" s="423"/>
      <c r="C20" s="376"/>
      <c r="D20" s="424"/>
      <c r="E20" s="376"/>
      <c r="F20" s="417"/>
      <c r="G20" s="376"/>
      <c r="H20" s="376"/>
      <c r="I20" s="376"/>
      <c r="J20" s="376"/>
    </row>
    <row r="21" spans="2:10" ht="18" hidden="1" customHeight="1">
      <c r="B21" s="423" t="s">
        <v>242</v>
      </c>
      <c r="C21" s="376"/>
      <c r="D21" s="424"/>
      <c r="E21" s="376"/>
      <c r="F21" s="417"/>
      <c r="G21" s="376"/>
      <c r="H21" s="376"/>
      <c r="I21" s="376"/>
      <c r="J21" s="376"/>
    </row>
    <row r="22" spans="2:10" ht="18" hidden="1" customHeight="1">
      <c r="B22" s="423" t="s">
        <v>243</v>
      </c>
      <c r="C22" s="376"/>
      <c r="D22" s="424"/>
      <c r="E22" s="376"/>
      <c r="F22" s="417"/>
      <c r="G22" s="376"/>
      <c r="H22" s="376"/>
      <c r="I22" s="376"/>
      <c r="J22" s="376"/>
    </row>
    <row r="23" spans="2:10" ht="18" hidden="1" customHeight="1">
      <c r="B23" s="423" t="s">
        <v>244</v>
      </c>
      <c r="C23" s="376"/>
      <c r="D23" s="424"/>
      <c r="E23" s="376"/>
      <c r="F23" s="417"/>
      <c r="G23" s="376"/>
      <c r="H23" s="376"/>
      <c r="I23" s="376"/>
      <c r="J23" s="376"/>
    </row>
    <row r="24" spans="2:10" ht="18" hidden="1" customHeight="1">
      <c r="B24" s="423" t="s">
        <v>245</v>
      </c>
      <c r="C24" s="376"/>
      <c r="D24" s="424"/>
      <c r="E24" s="376"/>
      <c r="F24" s="417"/>
      <c r="G24" s="376"/>
      <c r="H24" s="376"/>
      <c r="I24" s="376"/>
      <c r="J24" s="376"/>
    </row>
    <row r="25" spans="2:10" ht="18" hidden="1" customHeight="1">
      <c r="B25" s="423"/>
      <c r="C25" s="376"/>
      <c r="D25" s="424"/>
      <c r="E25" s="376"/>
      <c r="F25" s="417"/>
      <c r="G25" s="376"/>
      <c r="H25" s="376"/>
      <c r="I25" s="376"/>
      <c r="J25" s="376"/>
    </row>
    <row r="26" spans="2:10" ht="18" hidden="1" customHeight="1">
      <c r="B26" s="423" t="s">
        <v>246</v>
      </c>
      <c r="C26" s="376"/>
      <c r="D26" s="424"/>
      <c r="E26" s="376"/>
      <c r="F26" s="417"/>
      <c r="G26" s="376"/>
      <c r="H26" s="376"/>
      <c r="I26" s="376"/>
      <c r="J26" s="376"/>
    </row>
    <row r="27" spans="2:10" ht="18" hidden="1" customHeight="1">
      <c r="B27" s="423" t="s">
        <v>247</v>
      </c>
      <c r="C27" s="376"/>
      <c r="D27" s="424"/>
      <c r="E27" s="376"/>
      <c r="F27" s="417"/>
      <c r="G27" s="376"/>
      <c r="H27" s="376"/>
      <c r="I27" s="376"/>
      <c r="J27" s="376"/>
    </row>
    <row r="28" spans="2:10" ht="18" hidden="1" customHeight="1">
      <c r="B28" s="423" t="s">
        <v>248</v>
      </c>
      <c r="C28" s="376"/>
      <c r="D28" s="424"/>
      <c r="E28" s="376"/>
      <c r="F28" s="417"/>
      <c r="G28" s="376"/>
      <c r="H28" s="376"/>
      <c r="I28" s="376"/>
      <c r="J28" s="376"/>
    </row>
    <row r="29" spans="2:10" ht="18" hidden="1" customHeight="1">
      <c r="B29" s="423" t="s">
        <v>249</v>
      </c>
      <c r="C29" s="376"/>
      <c r="D29" s="424"/>
      <c r="E29" s="376"/>
      <c r="F29" s="417"/>
      <c r="G29" s="376"/>
      <c r="H29" s="376"/>
      <c r="I29" s="376"/>
      <c r="J29" s="376"/>
    </row>
    <row r="30" spans="2:10" ht="18" hidden="1" customHeight="1">
      <c r="B30" s="423"/>
      <c r="C30" s="376"/>
      <c r="D30" s="424"/>
      <c r="E30" s="376"/>
      <c r="F30" s="417"/>
      <c r="G30" s="376"/>
      <c r="H30" s="376"/>
      <c r="I30" s="376"/>
      <c r="J30" s="376"/>
    </row>
    <row r="31" spans="2:10" ht="18" hidden="1" customHeight="1">
      <c r="B31" s="423" t="s">
        <v>250</v>
      </c>
      <c r="C31" s="376"/>
      <c r="D31" s="424"/>
      <c r="E31" s="376"/>
      <c r="F31" s="417"/>
      <c r="G31" s="376"/>
      <c r="H31" s="376"/>
      <c r="I31" s="376"/>
      <c r="J31" s="376"/>
    </row>
    <row r="32" spans="2:10" ht="18" hidden="1" customHeight="1">
      <c r="B32" s="427" t="s">
        <v>251</v>
      </c>
      <c r="C32" s="428"/>
      <c r="D32" s="424"/>
      <c r="E32" s="376"/>
      <c r="F32" s="417"/>
      <c r="G32" s="376"/>
      <c r="H32" s="376"/>
      <c r="I32" s="376"/>
      <c r="J32" s="376"/>
    </row>
    <row r="33" spans="2:10" ht="18" hidden="1" customHeight="1">
      <c r="B33" s="427" t="s">
        <v>252</v>
      </c>
      <c r="C33" s="428"/>
      <c r="D33" s="424"/>
      <c r="E33" s="376"/>
      <c r="F33" s="417"/>
      <c r="G33" s="376"/>
      <c r="H33" s="376"/>
      <c r="I33" s="376"/>
      <c r="J33" s="376"/>
    </row>
    <row r="34" spans="2:10" ht="18" hidden="1" customHeight="1">
      <c r="B34" s="427" t="s">
        <v>253</v>
      </c>
      <c r="C34" s="428"/>
      <c r="D34" s="424"/>
      <c r="E34" s="376"/>
      <c r="F34" s="417"/>
      <c r="G34" s="376"/>
      <c r="H34" s="376"/>
      <c r="I34" s="376"/>
      <c r="J34" s="376"/>
    </row>
    <row r="35" spans="2:10" ht="18" hidden="1" customHeight="1">
      <c r="B35" s="423"/>
      <c r="C35" s="376"/>
      <c r="D35" s="424"/>
      <c r="E35" s="376"/>
      <c r="F35" s="417"/>
      <c r="G35" s="376"/>
      <c r="H35" s="376"/>
      <c r="I35" s="376"/>
      <c r="J35" s="376"/>
    </row>
    <row r="36" spans="2:10" ht="18" hidden="1" customHeight="1">
      <c r="B36" s="423" t="s">
        <v>254</v>
      </c>
      <c r="C36" s="376"/>
      <c r="D36" s="424"/>
      <c r="E36" s="376"/>
      <c r="F36" s="417"/>
      <c r="G36" s="376"/>
      <c r="H36" s="376"/>
      <c r="I36" s="376"/>
      <c r="J36" s="376"/>
    </row>
    <row r="37" spans="2:10" ht="18" hidden="1" customHeight="1">
      <c r="B37" s="423" t="s">
        <v>255</v>
      </c>
      <c r="C37" s="376"/>
      <c r="D37" s="424"/>
      <c r="E37" s="376"/>
      <c r="F37" s="417"/>
      <c r="G37" s="376"/>
      <c r="H37" s="376"/>
      <c r="I37" s="376"/>
      <c r="J37" s="376"/>
    </row>
    <row r="38" spans="2:10" ht="18" hidden="1" customHeight="1">
      <c r="B38" s="423"/>
      <c r="C38" s="376"/>
      <c r="D38" s="424"/>
      <c r="E38" s="376"/>
      <c r="F38" s="417"/>
      <c r="G38" s="376"/>
      <c r="H38" s="376"/>
      <c r="I38" s="376"/>
      <c r="J38" s="376"/>
    </row>
    <row r="39" spans="2:10" ht="18" hidden="1" customHeight="1">
      <c r="B39" s="423" t="s">
        <v>256</v>
      </c>
      <c r="C39" s="376"/>
      <c r="D39" s="424"/>
      <c r="E39" s="376"/>
      <c r="F39" s="417"/>
      <c r="G39" s="376"/>
      <c r="H39" s="376"/>
      <c r="I39" s="376"/>
      <c r="J39" s="376"/>
    </row>
    <row r="40" spans="2:10" ht="18" hidden="1" customHeight="1">
      <c r="B40" s="423"/>
      <c r="C40" s="376"/>
      <c r="D40" s="424"/>
      <c r="E40" s="376"/>
      <c r="F40" s="417"/>
      <c r="G40" s="376"/>
      <c r="H40" s="376"/>
      <c r="I40" s="376"/>
      <c r="J40" s="376"/>
    </row>
    <row r="41" spans="2:10" ht="18" hidden="1" customHeight="1">
      <c r="B41" s="426"/>
      <c r="C41" s="376"/>
      <c r="D41" s="424"/>
      <c r="E41" s="376"/>
      <c r="F41" s="417"/>
      <c r="G41" s="376"/>
      <c r="H41" s="376"/>
      <c r="I41" s="376"/>
      <c r="J41" s="376"/>
    </row>
    <row r="42" spans="2:10" ht="18" hidden="1" customHeight="1" thickBot="1">
      <c r="B42" s="429" t="s">
        <v>257</v>
      </c>
      <c r="C42" s="430"/>
      <c r="D42" s="431"/>
      <c r="E42" s="430"/>
      <c r="F42" s="432"/>
      <c r="G42" s="376"/>
      <c r="H42" s="376"/>
      <c r="I42" s="376"/>
      <c r="J42" s="376"/>
    </row>
    <row r="43" spans="2:10" ht="18" hidden="1" customHeight="1" thickBot="1">
      <c r="B43" s="433"/>
      <c r="C43" s="376"/>
      <c r="D43" s="424"/>
      <c r="E43" s="376"/>
      <c r="F43" s="376"/>
      <c r="G43" s="376"/>
      <c r="H43" s="376"/>
      <c r="I43" s="376"/>
      <c r="J43" s="376"/>
    </row>
    <row r="44" spans="2:10" ht="18" hidden="1" customHeight="1">
      <c r="B44" s="596" t="s">
        <v>258</v>
      </c>
      <c r="C44" s="597"/>
      <c r="D44" s="413"/>
      <c r="E44" s="412"/>
      <c r="F44" s="414"/>
      <c r="H44" s="384"/>
    </row>
    <row r="45" spans="2:10" ht="22.5" hidden="1" customHeight="1">
      <c r="B45" s="598"/>
      <c r="C45" s="599"/>
      <c r="F45" s="420"/>
      <c r="I45" s="385"/>
    </row>
    <row r="46" spans="2:10" ht="24.9" hidden="1" customHeight="1" thickBot="1">
      <c r="B46" s="600"/>
      <c r="C46" s="601"/>
      <c r="D46" s="434"/>
      <c r="E46" s="435"/>
      <c r="F46" s="436"/>
    </row>
    <row r="47" spans="2:10" ht="18" hidden="1" customHeight="1">
      <c r="B47" s="370" t="s">
        <v>259</v>
      </c>
      <c r="C47" s="630"/>
      <c r="D47" s="630"/>
      <c r="E47" s="630"/>
      <c r="F47" s="631"/>
      <c r="G47" s="386"/>
    </row>
    <row r="48" spans="2:10" ht="18" hidden="1" customHeight="1">
      <c r="B48" s="646" t="s">
        <v>260</v>
      </c>
      <c r="C48" s="647"/>
      <c r="D48" s="647"/>
      <c r="E48" s="647"/>
      <c r="F48" s="648"/>
      <c r="H48" s="387"/>
      <c r="I48" s="388"/>
      <c r="J48" s="388"/>
    </row>
    <row r="49" spans="2:10" ht="18" hidden="1" customHeight="1">
      <c r="B49" s="646" t="s">
        <v>261</v>
      </c>
      <c r="C49" s="647"/>
      <c r="D49" s="647"/>
      <c r="E49" s="647"/>
      <c r="F49" s="648"/>
      <c r="H49" s="387"/>
      <c r="I49" s="388"/>
      <c r="J49" s="388"/>
    </row>
    <row r="50" spans="2:10" ht="18" hidden="1" customHeight="1">
      <c r="B50" s="646" t="s">
        <v>262</v>
      </c>
      <c r="C50" s="647"/>
      <c r="D50" s="647"/>
      <c r="E50" s="647"/>
      <c r="F50" s="648"/>
      <c r="H50" s="387"/>
      <c r="I50" s="388"/>
      <c r="J50" s="388"/>
    </row>
    <row r="51" spans="2:10" ht="18" hidden="1" customHeight="1" thickBot="1">
      <c r="B51" s="493" t="s">
        <v>263</v>
      </c>
      <c r="C51" s="649"/>
      <c r="D51" s="649"/>
      <c r="E51" s="649"/>
      <c r="F51" s="650"/>
    </row>
    <row r="52" spans="2:10" ht="18" hidden="1" customHeight="1" thickBot="1">
      <c r="B52" s="387"/>
      <c r="C52" s="387"/>
      <c r="D52" s="387"/>
      <c r="E52" s="387"/>
      <c r="F52" s="387"/>
    </row>
    <row r="53" spans="2:10" s="389" customFormat="1" ht="18" hidden="1" customHeight="1">
      <c r="B53" s="651" t="s">
        <v>1087</v>
      </c>
      <c r="C53" s="652"/>
      <c r="D53" s="652"/>
      <c r="E53" s="652"/>
      <c r="F53" s="653"/>
    </row>
    <row r="54" spans="2:10" s="389" customFormat="1" ht="18" hidden="1" customHeight="1">
      <c r="B54" s="437" t="s">
        <v>265</v>
      </c>
      <c r="C54" s="438"/>
      <c r="D54" s="634"/>
      <c r="E54" s="635"/>
      <c r="F54" s="636"/>
    </row>
    <row r="55" spans="2:10" ht="18" hidden="1" customHeight="1">
      <c r="B55" s="608" t="s">
        <v>266</v>
      </c>
      <c r="C55" s="609"/>
      <c r="D55" s="639" t="s">
        <v>267</v>
      </c>
      <c r="E55" s="640"/>
      <c r="F55" s="641"/>
    </row>
    <row r="56" spans="2:10" ht="18" hidden="1" customHeight="1">
      <c r="B56" s="608" t="s">
        <v>268</v>
      </c>
      <c r="C56" s="609"/>
      <c r="D56" s="639" t="s">
        <v>267</v>
      </c>
      <c r="E56" s="640"/>
      <c r="F56" s="641"/>
    </row>
    <row r="57" spans="2:10" ht="18" hidden="1" customHeight="1">
      <c r="B57" s="608" t="s">
        <v>269</v>
      </c>
      <c r="C57" s="609"/>
      <c r="D57" s="639" t="s">
        <v>267</v>
      </c>
      <c r="E57" s="640"/>
      <c r="F57" s="641"/>
    </row>
    <row r="58" spans="2:10" ht="18" hidden="1" customHeight="1">
      <c r="B58" s="608" t="s">
        <v>270</v>
      </c>
      <c r="C58" s="609"/>
      <c r="D58" s="639" t="s">
        <v>267</v>
      </c>
      <c r="E58" s="640"/>
      <c r="F58" s="641"/>
    </row>
    <row r="59" spans="2:10" ht="18" hidden="1" customHeight="1">
      <c r="B59" s="608" t="s">
        <v>272</v>
      </c>
      <c r="C59" s="609"/>
      <c r="D59" s="639" t="s">
        <v>267</v>
      </c>
      <c r="E59" s="640"/>
      <c r="F59" s="641"/>
    </row>
    <row r="60" spans="2:10" ht="18" hidden="1" customHeight="1">
      <c r="B60" s="608" t="s">
        <v>1060</v>
      </c>
      <c r="C60" s="609"/>
      <c r="D60" s="639" t="s">
        <v>267</v>
      </c>
      <c r="E60" s="640"/>
      <c r="F60" s="641"/>
    </row>
    <row r="61" spans="2:10" ht="18" hidden="1" customHeight="1">
      <c r="B61" s="437" t="s">
        <v>274</v>
      </c>
      <c r="C61" s="438"/>
      <c r="D61" s="634"/>
      <c r="E61" s="635"/>
      <c r="F61" s="636"/>
    </row>
    <row r="62" spans="2:10" ht="18" hidden="1" customHeight="1">
      <c r="B62" s="608" t="s">
        <v>275</v>
      </c>
      <c r="C62" s="609"/>
      <c r="D62" s="639" t="s">
        <v>267</v>
      </c>
      <c r="E62" s="640"/>
      <c r="F62" s="641"/>
    </row>
    <row r="63" spans="2:10" ht="18" hidden="1" customHeight="1">
      <c r="B63" s="608" t="s">
        <v>276</v>
      </c>
      <c r="C63" s="609"/>
      <c r="D63" s="639" t="s">
        <v>267</v>
      </c>
      <c r="E63" s="640"/>
      <c r="F63" s="641"/>
    </row>
    <row r="64" spans="2:10" ht="18" hidden="1" customHeight="1">
      <c r="B64" s="608" t="s">
        <v>277</v>
      </c>
      <c r="C64" s="609"/>
      <c r="D64" s="639" t="s">
        <v>267</v>
      </c>
      <c r="E64" s="640"/>
      <c r="F64" s="641"/>
      <c r="G64" s="390"/>
    </row>
    <row r="65" spans="2:6" ht="18" hidden="1" customHeight="1">
      <c r="B65" s="608" t="s">
        <v>278</v>
      </c>
      <c r="C65" s="609"/>
      <c r="D65" s="639" t="s">
        <v>267</v>
      </c>
      <c r="E65" s="640"/>
      <c r="F65" s="641"/>
    </row>
    <row r="66" spans="2:6" ht="18" hidden="1" customHeight="1">
      <c r="B66" s="608" t="s">
        <v>1088</v>
      </c>
      <c r="C66" s="609"/>
      <c r="D66" s="639"/>
      <c r="E66" s="640"/>
      <c r="F66" s="641"/>
    </row>
    <row r="67" spans="2:6" ht="18" hidden="1" customHeight="1">
      <c r="B67" s="437" t="s">
        <v>280</v>
      </c>
      <c r="C67" s="438"/>
      <c r="D67" s="634"/>
      <c r="E67" s="635"/>
      <c r="F67" s="636"/>
    </row>
    <row r="68" spans="2:6" ht="18" hidden="1" customHeight="1">
      <c r="B68" s="608" t="s">
        <v>1142</v>
      </c>
      <c r="C68" s="609"/>
      <c r="D68" s="639" t="s">
        <v>267</v>
      </c>
      <c r="E68" s="640"/>
      <c r="F68" s="641"/>
    </row>
    <row r="69" spans="2:6" ht="28.2" hidden="1" customHeight="1">
      <c r="B69" s="608" t="s">
        <v>282</v>
      </c>
      <c r="C69" s="609"/>
      <c r="D69" s="639" t="s">
        <v>267</v>
      </c>
      <c r="E69" s="640"/>
      <c r="F69" s="641"/>
    </row>
    <row r="70" spans="2:6" ht="18" hidden="1" customHeight="1">
      <c r="B70" s="608" t="s">
        <v>283</v>
      </c>
      <c r="C70" s="609"/>
      <c r="D70" s="639" t="s">
        <v>267</v>
      </c>
      <c r="E70" s="640"/>
      <c r="F70" s="641"/>
    </row>
    <row r="71" spans="2:6" ht="18" hidden="1" customHeight="1">
      <c r="B71" s="437" t="s">
        <v>284</v>
      </c>
      <c r="C71" s="438"/>
      <c r="D71" s="634"/>
      <c r="E71" s="635"/>
      <c r="F71" s="636"/>
    </row>
    <row r="72" spans="2:6" ht="18" hidden="1" customHeight="1">
      <c r="B72" s="637" t="s">
        <v>285</v>
      </c>
      <c r="C72" s="638"/>
      <c r="D72" s="639" t="s">
        <v>267</v>
      </c>
      <c r="E72" s="640"/>
      <c r="F72" s="641"/>
    </row>
    <row r="73" spans="2:6" ht="18" hidden="1" customHeight="1">
      <c r="B73" s="437" t="s">
        <v>286</v>
      </c>
      <c r="C73" s="438"/>
      <c r="D73" s="634"/>
      <c r="E73" s="635"/>
      <c r="F73" s="636"/>
    </row>
    <row r="74" spans="2:6" ht="18" hidden="1" customHeight="1">
      <c r="B74" s="608" t="s">
        <v>287</v>
      </c>
      <c r="C74" s="609"/>
      <c r="D74" s="639" t="s">
        <v>267</v>
      </c>
      <c r="E74" s="640"/>
      <c r="F74" s="641"/>
    </row>
    <row r="75" spans="2:6" ht="18" hidden="1" customHeight="1">
      <c r="B75" s="608" t="s">
        <v>288</v>
      </c>
      <c r="C75" s="609"/>
      <c r="D75" s="639" t="s">
        <v>267</v>
      </c>
      <c r="E75" s="640"/>
      <c r="F75" s="641"/>
    </row>
    <row r="76" spans="2:6" ht="18" hidden="1" customHeight="1">
      <c r="B76" s="608" t="s">
        <v>289</v>
      </c>
      <c r="C76" s="609"/>
      <c r="D76" s="639" t="s">
        <v>267</v>
      </c>
      <c r="E76" s="640"/>
      <c r="F76" s="641"/>
    </row>
    <row r="77" spans="2:6" ht="18" hidden="1" customHeight="1">
      <c r="B77" s="608" t="s">
        <v>1089</v>
      </c>
      <c r="C77" s="609"/>
      <c r="D77" s="639" t="s">
        <v>267</v>
      </c>
      <c r="E77" s="640"/>
      <c r="F77" s="641"/>
    </row>
    <row r="78" spans="2:6" ht="18" hidden="1" customHeight="1">
      <c r="B78" s="437" t="s">
        <v>295</v>
      </c>
      <c r="C78" s="438"/>
      <c r="D78" s="634"/>
      <c r="E78" s="635"/>
      <c r="F78" s="636"/>
    </row>
    <row r="79" spans="2:6" ht="18" hidden="1" customHeight="1">
      <c r="B79" s="608" t="s">
        <v>291</v>
      </c>
      <c r="C79" s="609"/>
      <c r="D79" s="639" t="s">
        <v>267</v>
      </c>
      <c r="E79" s="640"/>
      <c r="F79" s="641"/>
    </row>
    <row r="80" spans="2:6" ht="18" hidden="1" customHeight="1">
      <c r="B80" s="637" t="s">
        <v>1090</v>
      </c>
      <c r="C80" s="638"/>
      <c r="D80" s="639" t="s">
        <v>267</v>
      </c>
      <c r="E80" s="640"/>
      <c r="F80" s="641"/>
    </row>
    <row r="81" spans="2:6" ht="28.95" hidden="1" customHeight="1">
      <c r="B81" s="637" t="s">
        <v>297</v>
      </c>
      <c r="C81" s="638"/>
      <c r="D81" s="639" t="s">
        <v>267</v>
      </c>
      <c r="E81" s="640"/>
      <c r="F81" s="641"/>
    </row>
    <row r="82" spans="2:6" ht="18" hidden="1" customHeight="1">
      <c r="B82" s="437" t="s">
        <v>299</v>
      </c>
      <c r="C82" s="438"/>
      <c r="D82" s="634"/>
      <c r="E82" s="640"/>
      <c r="F82" s="641"/>
    </row>
    <row r="83" spans="2:6" ht="18" hidden="1" customHeight="1">
      <c r="B83" s="637" t="s">
        <v>1045</v>
      </c>
      <c r="C83" s="638"/>
      <c r="D83" s="639" t="s">
        <v>267</v>
      </c>
      <c r="E83" s="640"/>
      <c r="F83" s="641"/>
    </row>
    <row r="84" spans="2:6" ht="27" hidden="1" customHeight="1">
      <c r="B84" s="637" t="s">
        <v>1046</v>
      </c>
      <c r="C84" s="638"/>
      <c r="D84" s="639" t="s">
        <v>267</v>
      </c>
      <c r="E84" s="640"/>
      <c r="F84" s="641"/>
    </row>
    <row r="85" spans="2:6" ht="18" hidden="1" customHeight="1">
      <c r="B85" s="437" t="s">
        <v>302</v>
      </c>
      <c r="C85" s="438"/>
      <c r="D85" s="634"/>
      <c r="E85" s="635"/>
      <c r="F85" s="636"/>
    </row>
    <row r="86" spans="2:6" ht="18" hidden="1" customHeight="1">
      <c r="B86" s="637" t="s">
        <v>1091</v>
      </c>
      <c r="C86" s="638"/>
      <c r="D86" s="639" t="s">
        <v>267</v>
      </c>
      <c r="E86" s="640"/>
      <c r="F86" s="641"/>
    </row>
    <row r="87" spans="2:6" ht="18" hidden="1" customHeight="1">
      <c r="B87" s="637" t="s">
        <v>304</v>
      </c>
      <c r="C87" s="638"/>
      <c r="D87" s="639" t="s">
        <v>267</v>
      </c>
      <c r="E87" s="640"/>
      <c r="F87" s="641"/>
    </row>
    <row r="88" spans="2:6" ht="18" hidden="1" customHeight="1">
      <c r="B88" s="637" t="s">
        <v>305</v>
      </c>
      <c r="C88" s="638"/>
      <c r="D88" s="639" t="s">
        <v>267</v>
      </c>
      <c r="E88" s="640"/>
      <c r="F88" s="641"/>
    </row>
    <row r="89" spans="2:6" ht="18" hidden="1" customHeight="1">
      <c r="B89" s="437" t="s">
        <v>306</v>
      </c>
      <c r="C89" s="438"/>
      <c r="D89" s="634"/>
      <c r="E89" s="635"/>
      <c r="F89" s="636"/>
    </row>
    <row r="90" spans="2:6" ht="18" hidden="1" customHeight="1">
      <c r="B90" s="637" t="s">
        <v>307</v>
      </c>
      <c r="C90" s="638"/>
      <c r="D90" s="639" t="s">
        <v>267</v>
      </c>
      <c r="E90" s="640"/>
      <c r="F90" s="641"/>
    </row>
    <row r="91" spans="2:6" ht="18" hidden="1" customHeight="1">
      <c r="B91" s="637" t="s">
        <v>308</v>
      </c>
      <c r="C91" s="638"/>
      <c r="D91" s="639" t="s">
        <v>267</v>
      </c>
      <c r="E91" s="640"/>
      <c r="F91" s="641"/>
    </row>
    <row r="92" spans="2:6" ht="18" hidden="1" customHeight="1">
      <c r="B92" s="637" t="s">
        <v>309</v>
      </c>
      <c r="C92" s="638"/>
      <c r="D92" s="639" t="s">
        <v>267</v>
      </c>
      <c r="E92" s="640"/>
      <c r="F92" s="641"/>
    </row>
    <row r="93" spans="2:6" ht="18" hidden="1" customHeight="1">
      <c r="B93" s="437" t="s">
        <v>310</v>
      </c>
      <c r="C93" s="439"/>
      <c r="D93" s="634"/>
      <c r="E93" s="635"/>
      <c r="F93" s="636"/>
    </row>
    <row r="94" spans="2:6" ht="18" hidden="1" customHeight="1">
      <c r="B94" s="637" t="s">
        <v>1092</v>
      </c>
      <c r="C94" s="638"/>
      <c r="D94" s="639" t="s">
        <v>267</v>
      </c>
      <c r="E94" s="640"/>
      <c r="F94" s="641"/>
    </row>
    <row r="95" spans="2:6" ht="18" hidden="1" customHeight="1">
      <c r="B95" s="637" t="s">
        <v>312</v>
      </c>
      <c r="C95" s="638"/>
      <c r="D95" s="639" t="s">
        <v>267</v>
      </c>
      <c r="E95" s="640"/>
      <c r="F95" s="641"/>
    </row>
    <row r="96" spans="2:6" ht="27" hidden="1" customHeight="1">
      <c r="B96" s="637" t="s">
        <v>313</v>
      </c>
      <c r="C96" s="638"/>
      <c r="D96" s="639" t="s">
        <v>267</v>
      </c>
      <c r="E96" s="640"/>
      <c r="F96" s="641"/>
    </row>
    <row r="97" spans="2:6" ht="18" hidden="1" customHeight="1">
      <c r="B97" s="637" t="s">
        <v>314</v>
      </c>
      <c r="C97" s="638"/>
      <c r="D97" s="639" t="s">
        <v>267</v>
      </c>
      <c r="E97" s="640"/>
      <c r="F97" s="641"/>
    </row>
    <row r="98" spans="2:6" ht="18" hidden="1" customHeight="1">
      <c r="B98" s="437" t="s">
        <v>315</v>
      </c>
      <c r="C98" s="438"/>
      <c r="D98" s="634"/>
      <c r="E98" s="635"/>
      <c r="F98" s="636"/>
    </row>
    <row r="99" spans="2:6" ht="18" hidden="1" customHeight="1">
      <c r="B99" s="608" t="s">
        <v>293</v>
      </c>
      <c r="C99" s="609"/>
      <c r="D99" s="639" t="s">
        <v>267</v>
      </c>
      <c r="E99" s="640"/>
      <c r="F99" s="641"/>
    </row>
    <row r="100" spans="2:6" ht="27.75" hidden="1" customHeight="1">
      <c r="B100" s="637" t="s">
        <v>294</v>
      </c>
      <c r="C100" s="638"/>
      <c r="D100" s="639" t="s">
        <v>267</v>
      </c>
      <c r="E100" s="640"/>
      <c r="F100" s="641"/>
    </row>
    <row r="101" spans="2:6" ht="18" hidden="1" customHeight="1">
      <c r="B101" s="637" t="s">
        <v>316</v>
      </c>
      <c r="C101" s="638"/>
      <c r="D101" s="639" t="s">
        <v>267</v>
      </c>
      <c r="E101" s="640"/>
      <c r="F101" s="641"/>
    </row>
    <row r="102" spans="2:6" ht="18" hidden="1" customHeight="1">
      <c r="B102" s="637" t="s">
        <v>317</v>
      </c>
      <c r="C102" s="638"/>
      <c r="D102" s="639" t="s">
        <v>267</v>
      </c>
      <c r="E102" s="640"/>
      <c r="F102" s="641"/>
    </row>
    <row r="103" spans="2:6" ht="18" hidden="1" customHeight="1">
      <c r="B103" s="637" t="s">
        <v>318</v>
      </c>
      <c r="C103" s="638"/>
      <c r="D103" s="639" t="s">
        <v>267</v>
      </c>
      <c r="E103" s="640"/>
      <c r="F103" s="641"/>
    </row>
    <row r="104" spans="2:6" ht="18" hidden="1" customHeight="1">
      <c r="B104" s="437" t="s">
        <v>319</v>
      </c>
      <c r="C104" s="438"/>
      <c r="D104" s="634"/>
      <c r="E104" s="635"/>
      <c r="F104" s="636"/>
    </row>
    <row r="105" spans="2:6" ht="18" hidden="1" customHeight="1">
      <c r="B105" s="637" t="s">
        <v>320</v>
      </c>
      <c r="C105" s="638"/>
      <c r="D105" s="639" t="s">
        <v>267</v>
      </c>
      <c r="E105" s="640"/>
      <c r="F105" s="641"/>
    </row>
    <row r="106" spans="2:6" ht="18" hidden="1" customHeight="1">
      <c r="B106" s="637" t="s">
        <v>1093</v>
      </c>
      <c r="C106" s="638"/>
      <c r="D106" s="639" t="s">
        <v>267</v>
      </c>
      <c r="E106" s="640"/>
      <c r="F106" s="641"/>
    </row>
    <row r="107" spans="2:6" ht="18" hidden="1" customHeight="1">
      <c r="B107" s="637" t="s">
        <v>322</v>
      </c>
      <c r="C107" s="638"/>
      <c r="D107" s="639" t="s">
        <v>267</v>
      </c>
      <c r="E107" s="640"/>
      <c r="F107" s="641"/>
    </row>
    <row r="108" spans="2:6" ht="18" hidden="1" customHeight="1">
      <c r="B108" s="637" t="s">
        <v>323</v>
      </c>
      <c r="C108" s="638"/>
      <c r="D108" s="639" t="s">
        <v>267</v>
      </c>
      <c r="E108" s="640"/>
      <c r="F108" s="641"/>
    </row>
    <row r="109" spans="2:6" ht="18" hidden="1" customHeight="1">
      <c r="B109" s="437" t="s">
        <v>324</v>
      </c>
      <c r="C109" s="440"/>
      <c r="D109" s="634"/>
      <c r="E109" s="635"/>
      <c r="F109" s="636"/>
    </row>
    <row r="110" spans="2:6" ht="18" hidden="1" customHeight="1">
      <c r="B110" s="637" t="s">
        <v>1094</v>
      </c>
      <c r="C110" s="638"/>
      <c r="D110" s="639" t="s">
        <v>267</v>
      </c>
      <c r="E110" s="640"/>
      <c r="F110" s="641"/>
    </row>
    <row r="111" spans="2:6" ht="18" hidden="1" customHeight="1">
      <c r="B111" s="637" t="s">
        <v>1095</v>
      </c>
      <c r="C111" s="638"/>
      <c r="D111" s="639" t="s">
        <v>267</v>
      </c>
      <c r="E111" s="640"/>
      <c r="F111" s="641"/>
    </row>
    <row r="112" spans="2:6" ht="18" hidden="1" customHeight="1">
      <c r="B112" s="637" t="s">
        <v>1096</v>
      </c>
      <c r="C112" s="638"/>
      <c r="D112" s="639" t="s">
        <v>267</v>
      </c>
      <c r="E112" s="640"/>
      <c r="F112" s="641"/>
    </row>
    <row r="113" spans="2:6" ht="18" hidden="1" customHeight="1">
      <c r="B113" s="637" t="s">
        <v>1097</v>
      </c>
      <c r="C113" s="638"/>
      <c r="D113" s="639" t="s">
        <v>267</v>
      </c>
      <c r="E113" s="640"/>
      <c r="F113" s="641"/>
    </row>
    <row r="114" spans="2:6" ht="18" hidden="1" customHeight="1">
      <c r="B114" s="637" t="s">
        <v>1098</v>
      </c>
      <c r="C114" s="638"/>
      <c r="D114" s="639" t="s">
        <v>267</v>
      </c>
      <c r="E114" s="640"/>
      <c r="F114" s="641"/>
    </row>
    <row r="115" spans="2:6" ht="18" hidden="1" customHeight="1">
      <c r="B115" s="637" t="s">
        <v>332</v>
      </c>
      <c r="C115" s="638"/>
      <c r="D115" s="639" t="s">
        <v>267</v>
      </c>
      <c r="E115" s="640"/>
      <c r="F115" s="641"/>
    </row>
    <row r="116" spans="2:6" ht="18" hidden="1" customHeight="1">
      <c r="B116" s="637" t="s">
        <v>333</v>
      </c>
      <c r="C116" s="638"/>
      <c r="D116" s="639" t="s">
        <v>267</v>
      </c>
      <c r="E116" s="640"/>
      <c r="F116" s="641"/>
    </row>
    <row r="117" spans="2:6" ht="18" hidden="1" customHeight="1">
      <c r="B117" s="637" t="s">
        <v>334</v>
      </c>
      <c r="C117" s="638"/>
      <c r="D117" s="639" t="s">
        <v>267</v>
      </c>
      <c r="E117" s="640"/>
      <c r="F117" s="641"/>
    </row>
    <row r="118" spans="2:6" ht="18" hidden="1" customHeight="1">
      <c r="B118" s="437" t="s">
        <v>335</v>
      </c>
      <c r="C118" s="440"/>
      <c r="D118" s="634"/>
      <c r="E118" s="635"/>
      <c r="F118" s="636"/>
    </row>
    <row r="119" spans="2:6" ht="18" hidden="1" customHeight="1">
      <c r="B119" s="637" t="s">
        <v>336</v>
      </c>
      <c r="C119" s="638"/>
      <c r="D119" s="639" t="s">
        <v>267</v>
      </c>
      <c r="E119" s="640"/>
      <c r="F119" s="641"/>
    </row>
    <row r="120" spans="2:6" ht="18" hidden="1" customHeight="1">
      <c r="B120" s="637" t="s">
        <v>337</v>
      </c>
      <c r="C120" s="638"/>
      <c r="D120" s="639" t="s">
        <v>267</v>
      </c>
      <c r="E120" s="640"/>
      <c r="F120" s="641"/>
    </row>
    <row r="121" spans="2:6" ht="18" hidden="1" customHeight="1">
      <c r="B121" s="637" t="s">
        <v>338</v>
      </c>
      <c r="C121" s="638"/>
      <c r="D121" s="639" t="s">
        <v>267</v>
      </c>
      <c r="E121" s="640"/>
      <c r="F121" s="641"/>
    </row>
    <row r="122" spans="2:6" ht="18" hidden="1" customHeight="1">
      <c r="B122" s="637" t="s">
        <v>1099</v>
      </c>
      <c r="C122" s="638"/>
      <c r="D122" s="639" t="s">
        <v>267</v>
      </c>
      <c r="E122" s="640"/>
      <c r="F122" s="641"/>
    </row>
    <row r="123" spans="2:6" ht="18" hidden="1" customHeight="1">
      <c r="B123" s="637" t="s">
        <v>1100</v>
      </c>
      <c r="C123" s="638"/>
      <c r="D123" s="639" t="s">
        <v>267</v>
      </c>
      <c r="E123" s="640"/>
      <c r="F123" s="641"/>
    </row>
    <row r="124" spans="2:6" ht="18" hidden="1" customHeight="1">
      <c r="B124" s="637" t="s">
        <v>1101</v>
      </c>
      <c r="C124" s="638"/>
      <c r="D124" s="639" t="s">
        <v>267</v>
      </c>
      <c r="E124" s="640"/>
      <c r="F124" s="641"/>
    </row>
    <row r="125" spans="2:6" ht="18" hidden="1" customHeight="1">
      <c r="B125" s="637" t="s">
        <v>342</v>
      </c>
      <c r="C125" s="638"/>
      <c r="D125" s="639" t="s">
        <v>267</v>
      </c>
      <c r="E125" s="640"/>
      <c r="F125" s="641"/>
    </row>
    <row r="126" spans="2:6" ht="18" hidden="1" customHeight="1">
      <c r="B126" s="637" t="s">
        <v>343</v>
      </c>
      <c r="C126" s="638"/>
      <c r="D126" s="639" t="s">
        <v>267</v>
      </c>
      <c r="E126" s="640"/>
      <c r="F126" s="641"/>
    </row>
    <row r="127" spans="2:6" ht="18" hidden="1" customHeight="1">
      <c r="B127" s="637" t="s">
        <v>344</v>
      </c>
      <c r="C127" s="638"/>
      <c r="D127" s="639" t="s">
        <v>267</v>
      </c>
      <c r="E127" s="640"/>
      <c r="F127" s="641"/>
    </row>
    <row r="128" spans="2:6" ht="18" hidden="1" customHeight="1">
      <c r="B128" s="637" t="s">
        <v>1102</v>
      </c>
      <c r="C128" s="638"/>
      <c r="D128" s="639" t="s">
        <v>267</v>
      </c>
      <c r="E128" s="640"/>
      <c r="F128" s="641"/>
    </row>
    <row r="129" spans="2:6" ht="18" hidden="1" customHeight="1">
      <c r="B129" s="437" t="s">
        <v>346</v>
      </c>
      <c r="C129" s="440"/>
      <c r="D129" s="634"/>
      <c r="E129" s="635"/>
      <c r="F129" s="636"/>
    </row>
    <row r="130" spans="2:6" ht="18" hidden="1" customHeight="1">
      <c r="B130" s="637" t="s">
        <v>1103</v>
      </c>
      <c r="C130" s="638"/>
      <c r="D130" s="639" t="s">
        <v>267</v>
      </c>
      <c r="E130" s="640"/>
      <c r="F130" s="641"/>
    </row>
    <row r="131" spans="2:6" ht="18" hidden="1" customHeight="1">
      <c r="B131" s="637" t="s">
        <v>1104</v>
      </c>
      <c r="C131" s="638"/>
      <c r="D131" s="639" t="s">
        <v>267</v>
      </c>
      <c r="E131" s="640"/>
      <c r="F131" s="641"/>
    </row>
    <row r="132" spans="2:6" ht="18" hidden="1" customHeight="1">
      <c r="B132" s="437" t="s">
        <v>348</v>
      </c>
      <c r="C132" s="440"/>
      <c r="D132" s="634"/>
      <c r="E132" s="635"/>
      <c r="F132" s="636"/>
    </row>
    <row r="133" spans="2:6" ht="18" hidden="1" customHeight="1">
      <c r="B133" s="637" t="s">
        <v>349</v>
      </c>
      <c r="C133" s="638"/>
      <c r="D133" s="639" t="s">
        <v>267</v>
      </c>
      <c r="E133" s="640"/>
      <c r="F133" s="641"/>
    </row>
    <row r="134" spans="2:6" ht="18" hidden="1" customHeight="1">
      <c r="B134" s="637" t="s">
        <v>350</v>
      </c>
      <c r="C134" s="638"/>
      <c r="D134" s="639" t="s">
        <v>267</v>
      </c>
      <c r="E134" s="640"/>
      <c r="F134" s="641"/>
    </row>
    <row r="135" spans="2:6" ht="18" hidden="1" customHeight="1">
      <c r="B135" s="637" t="s">
        <v>352</v>
      </c>
      <c r="C135" s="638"/>
      <c r="D135" s="639" t="s">
        <v>267</v>
      </c>
      <c r="E135" s="640"/>
      <c r="F135" s="641"/>
    </row>
    <row r="136" spans="2:6" ht="18" hidden="1" customHeight="1">
      <c r="B136" s="437" t="s">
        <v>353</v>
      </c>
      <c r="C136" s="438"/>
      <c r="D136" s="634"/>
      <c r="E136" s="635"/>
      <c r="F136" s="636"/>
    </row>
    <row r="137" spans="2:6" ht="18" hidden="1" customHeight="1">
      <c r="B137" s="637" t="s">
        <v>354</v>
      </c>
      <c r="C137" s="638"/>
      <c r="D137" s="639" t="s">
        <v>267</v>
      </c>
      <c r="E137" s="640"/>
      <c r="F137" s="641"/>
    </row>
    <row r="138" spans="2:6" ht="18" hidden="1" customHeight="1">
      <c r="B138" s="637" t="s">
        <v>355</v>
      </c>
      <c r="C138" s="638"/>
      <c r="D138" s="639" t="s">
        <v>267</v>
      </c>
      <c r="E138" s="640"/>
      <c r="F138" s="641"/>
    </row>
    <row r="139" spans="2:6" ht="18" hidden="1" customHeight="1">
      <c r="B139" s="637" t="s">
        <v>356</v>
      </c>
      <c r="C139" s="638"/>
      <c r="D139" s="639" t="s">
        <v>267</v>
      </c>
      <c r="E139" s="640"/>
      <c r="F139" s="641"/>
    </row>
    <row r="140" spans="2:6" ht="18" hidden="1" customHeight="1">
      <c r="B140" s="637" t="s">
        <v>357</v>
      </c>
      <c r="C140" s="638"/>
      <c r="D140" s="639" t="s">
        <v>267</v>
      </c>
      <c r="E140" s="640"/>
      <c r="F140" s="641"/>
    </row>
    <row r="141" spans="2:6" ht="18" hidden="1" customHeight="1">
      <c r="B141" s="437" t="s">
        <v>358</v>
      </c>
      <c r="C141" s="440"/>
      <c r="D141" s="634"/>
      <c r="E141" s="635"/>
      <c r="F141" s="636"/>
    </row>
    <row r="142" spans="2:6" ht="18" hidden="1" customHeight="1">
      <c r="B142" s="637" t="s">
        <v>359</v>
      </c>
      <c r="C142" s="638"/>
      <c r="D142" s="639" t="s">
        <v>267</v>
      </c>
      <c r="E142" s="640"/>
      <c r="F142" s="641"/>
    </row>
    <row r="143" spans="2:6" ht="18" hidden="1" customHeight="1">
      <c r="B143" s="637" t="s">
        <v>360</v>
      </c>
      <c r="C143" s="638"/>
      <c r="D143" s="639" t="s">
        <v>267</v>
      </c>
      <c r="E143" s="640"/>
      <c r="F143" s="641"/>
    </row>
    <row r="144" spans="2:6" ht="18" hidden="1" customHeight="1">
      <c r="B144" s="637" t="s">
        <v>361</v>
      </c>
      <c r="C144" s="638"/>
      <c r="D144" s="639" t="s">
        <v>267</v>
      </c>
      <c r="E144" s="640"/>
      <c r="F144" s="641"/>
    </row>
    <row r="145" spans="2:18" ht="18" hidden="1" customHeight="1">
      <c r="B145" s="637" t="s">
        <v>362</v>
      </c>
      <c r="C145" s="638"/>
      <c r="D145" s="639" t="s">
        <v>267</v>
      </c>
      <c r="E145" s="640"/>
      <c r="F145" s="641"/>
    </row>
    <row r="146" spans="2:18" ht="25.5" hidden="1" customHeight="1">
      <c r="B146" s="637" t="s">
        <v>363</v>
      </c>
      <c r="C146" s="638"/>
      <c r="D146" s="639" t="s">
        <v>267</v>
      </c>
      <c r="E146" s="640"/>
      <c r="F146" s="641"/>
    </row>
    <row r="147" spans="2:18" ht="18" hidden="1" customHeight="1">
      <c r="B147" s="637" t="s">
        <v>364</v>
      </c>
      <c r="C147" s="638"/>
      <c r="D147" s="639" t="s">
        <v>267</v>
      </c>
      <c r="E147" s="640"/>
      <c r="F147" s="641"/>
    </row>
    <row r="148" spans="2:18" ht="18" hidden="1" customHeight="1">
      <c r="B148" s="637" t="s">
        <v>365</v>
      </c>
      <c r="C148" s="638"/>
      <c r="D148" s="639" t="s">
        <v>267</v>
      </c>
      <c r="E148" s="640"/>
      <c r="F148" s="641"/>
    </row>
    <row r="149" spans="2:18" ht="18" hidden="1" customHeight="1">
      <c r="B149" s="637" t="s">
        <v>366</v>
      </c>
      <c r="C149" s="638"/>
      <c r="D149" s="639" t="s">
        <v>267</v>
      </c>
      <c r="E149" s="640"/>
      <c r="F149" s="641"/>
    </row>
    <row r="150" spans="2:18" ht="18" hidden="1" customHeight="1">
      <c r="B150" s="637" t="s">
        <v>367</v>
      </c>
      <c r="C150" s="638"/>
      <c r="D150" s="639" t="s">
        <v>267</v>
      </c>
      <c r="E150" s="640"/>
      <c r="F150" s="641"/>
    </row>
    <row r="151" spans="2:18" ht="18" hidden="1" customHeight="1">
      <c r="B151" s="437" t="s">
        <v>368</v>
      </c>
      <c r="C151" s="438"/>
      <c r="D151" s="634"/>
      <c r="E151" s="635"/>
      <c r="F151" s="636"/>
    </row>
    <row r="152" spans="2:18" ht="18" hidden="1" customHeight="1">
      <c r="B152" s="637" t="s">
        <v>1105</v>
      </c>
      <c r="C152" s="638"/>
      <c r="D152" s="639" t="s">
        <v>267</v>
      </c>
      <c r="E152" s="640"/>
      <c r="F152" s="641"/>
    </row>
    <row r="153" spans="2:18" ht="18" hidden="1" customHeight="1">
      <c r="B153" s="437" t="s">
        <v>370</v>
      </c>
      <c r="C153" s="440"/>
      <c r="D153" s="634"/>
      <c r="E153" s="640"/>
      <c r="F153" s="641"/>
    </row>
    <row r="154" spans="2:18" ht="18" hidden="1" customHeight="1">
      <c r="B154" s="637" t="s">
        <v>1106</v>
      </c>
      <c r="C154" s="638"/>
      <c r="D154" s="639" t="s">
        <v>267</v>
      </c>
      <c r="E154" s="640"/>
      <c r="F154" s="641"/>
    </row>
    <row r="155" spans="2:18" ht="18" hidden="1" customHeight="1">
      <c r="B155" s="437" t="s">
        <v>373</v>
      </c>
      <c r="C155" s="440"/>
      <c r="D155" s="634"/>
      <c r="E155" s="635"/>
      <c r="F155" s="636"/>
    </row>
    <row r="156" spans="2:18" ht="18" hidden="1" customHeight="1">
      <c r="B156" s="637" t="s">
        <v>375</v>
      </c>
      <c r="C156" s="638"/>
      <c r="D156" s="639" t="s">
        <v>267</v>
      </c>
      <c r="E156" s="640"/>
      <c r="F156" s="641"/>
    </row>
    <row r="157" spans="2:18" s="390" customFormat="1" ht="26.25" hidden="1" customHeight="1">
      <c r="B157" s="637" t="s">
        <v>376</v>
      </c>
      <c r="C157" s="638"/>
      <c r="D157" s="639" t="s">
        <v>267</v>
      </c>
      <c r="E157" s="640"/>
      <c r="F157" s="641"/>
      <c r="G157" s="373"/>
      <c r="R157" s="486"/>
    </row>
    <row r="158" spans="2:18" ht="26.25" hidden="1" customHeight="1">
      <c r="B158" s="637" t="s">
        <v>377</v>
      </c>
      <c r="C158" s="638"/>
      <c r="D158" s="639" t="s">
        <v>267</v>
      </c>
      <c r="E158" s="640"/>
      <c r="F158" s="641"/>
    </row>
    <row r="159" spans="2:18" ht="18" hidden="1" customHeight="1">
      <c r="B159" s="637" t="s">
        <v>378</v>
      </c>
      <c r="C159" s="638"/>
      <c r="D159" s="639" t="s">
        <v>267</v>
      </c>
      <c r="E159" s="640"/>
      <c r="F159" s="641"/>
    </row>
    <row r="160" spans="2:18" ht="18" hidden="1" customHeight="1">
      <c r="B160" s="437" t="s">
        <v>379</v>
      </c>
      <c r="C160" s="440"/>
      <c r="D160" s="634"/>
      <c r="E160" s="635"/>
      <c r="F160" s="636"/>
    </row>
    <row r="161" spans="2:44" ht="18" hidden="1" customHeight="1">
      <c r="B161" s="637" t="s">
        <v>1107</v>
      </c>
      <c r="C161" s="638"/>
      <c r="D161" s="639" t="s">
        <v>267</v>
      </c>
      <c r="E161" s="640"/>
      <c r="F161" s="641"/>
      <c r="H161" s="391"/>
    </row>
    <row r="162" spans="2:44" ht="18" hidden="1" customHeight="1">
      <c r="B162" s="637" t="s">
        <v>1108</v>
      </c>
      <c r="C162" s="638"/>
      <c r="D162" s="639" t="s">
        <v>267</v>
      </c>
      <c r="E162" s="640"/>
      <c r="F162" s="641"/>
      <c r="H162" s="391"/>
    </row>
    <row r="163" spans="2:44" ht="26.1" hidden="1" customHeight="1">
      <c r="B163" s="637" t="s">
        <v>1109</v>
      </c>
      <c r="C163" s="638"/>
      <c r="D163" s="639" t="s">
        <v>267</v>
      </c>
      <c r="E163" s="640"/>
      <c r="F163" s="641"/>
    </row>
    <row r="164" spans="2:44" ht="18" hidden="1" customHeight="1">
      <c r="B164" s="437" t="s">
        <v>383</v>
      </c>
      <c r="C164" s="440"/>
      <c r="D164" s="634"/>
      <c r="E164" s="635"/>
      <c r="F164" s="636"/>
    </row>
    <row r="165" spans="2:44" ht="18" hidden="1" customHeight="1">
      <c r="B165" s="637" t="s">
        <v>1110</v>
      </c>
      <c r="C165" s="638"/>
      <c r="D165" s="639" t="s">
        <v>267</v>
      </c>
      <c r="E165" s="640"/>
      <c r="F165" s="641"/>
      <c r="H165" s="392"/>
    </row>
    <row r="166" spans="2:44" ht="18" hidden="1" customHeight="1">
      <c r="B166" s="437" t="s">
        <v>385</v>
      </c>
      <c r="C166" s="440"/>
      <c r="D166" s="634"/>
      <c r="E166" s="635"/>
      <c r="F166" s="636"/>
    </row>
    <row r="167" spans="2:44" ht="18" hidden="1" customHeight="1">
      <c r="B167" s="637" t="s">
        <v>386</v>
      </c>
      <c r="C167" s="638"/>
      <c r="D167" s="639" t="s">
        <v>267</v>
      </c>
      <c r="E167" s="640"/>
      <c r="F167" s="641"/>
      <c r="H167" s="393"/>
    </row>
    <row r="168" spans="2:44" ht="18" hidden="1" customHeight="1">
      <c r="B168" s="437" t="s">
        <v>387</v>
      </c>
      <c r="C168" s="438"/>
      <c r="D168" s="634"/>
      <c r="E168" s="635"/>
      <c r="F168" s="636"/>
    </row>
    <row r="169" spans="2:44" ht="18" hidden="1" customHeight="1">
      <c r="B169" s="637" t="s">
        <v>388</v>
      </c>
      <c r="C169" s="638"/>
      <c r="D169" s="639" t="s">
        <v>267</v>
      </c>
      <c r="E169" s="640"/>
      <c r="F169" s="641"/>
      <c r="H169" s="392"/>
      <c r="I169" s="390" t="s">
        <v>1011</v>
      </c>
      <c r="J169" s="373">
        <f>+'1.HOUSE PRICE'!F24</f>
        <v>0</v>
      </c>
    </row>
    <row r="170" spans="2:44" ht="18" hidden="1" customHeight="1" thickBot="1">
      <c r="B170" s="623" t="s">
        <v>389</v>
      </c>
      <c r="C170" s="624"/>
      <c r="D170" s="625" t="s">
        <v>267</v>
      </c>
      <c r="E170" s="626"/>
      <c r="F170" s="627"/>
    </row>
    <row r="171" spans="2:44" s="494" customFormat="1" ht="18" hidden="1" customHeight="1" thickBot="1">
      <c r="B171" s="628"/>
      <c r="C171" s="628"/>
      <c r="R171" s="495"/>
    </row>
    <row r="172" spans="2:44" ht="18" customHeight="1">
      <c r="B172" s="411"/>
      <c r="C172" s="519"/>
      <c r="D172" s="412"/>
      <c r="E172" s="412"/>
      <c r="F172" s="414"/>
      <c r="H172" s="387" t="s">
        <v>390</v>
      </c>
      <c r="I172" s="394"/>
      <c r="Q172" s="591" t="s">
        <v>1112</v>
      </c>
      <c r="R172" s="592"/>
      <c r="S172" s="591" t="s">
        <v>1113</v>
      </c>
      <c r="T172" s="592"/>
      <c r="U172" s="591" t="s">
        <v>1116</v>
      </c>
      <c r="V172" s="592"/>
      <c r="W172" s="591" t="s">
        <v>1117</v>
      </c>
      <c r="X172" s="592"/>
      <c r="Y172" s="591" t="s">
        <v>1118</v>
      </c>
      <c r="Z172" s="592"/>
      <c r="AA172" s="593" t="s">
        <v>1214</v>
      </c>
      <c r="AB172" s="594"/>
      <c r="AC172" s="594" t="s">
        <v>1152</v>
      </c>
      <c r="AD172" s="594"/>
      <c r="AE172" s="594" t="s">
        <v>1121</v>
      </c>
      <c r="AF172" s="594"/>
      <c r="AG172" s="595" t="s">
        <v>509</v>
      </c>
      <c r="AH172" s="595"/>
      <c r="AI172" s="594" t="s">
        <v>1116</v>
      </c>
      <c r="AJ172" s="594"/>
      <c r="AK172" s="595" t="s">
        <v>1117</v>
      </c>
      <c r="AL172" s="595"/>
      <c r="AM172" s="595" t="s">
        <v>506</v>
      </c>
      <c r="AN172" s="595"/>
      <c r="AO172" s="594" t="s">
        <v>1124</v>
      </c>
      <c r="AP172" s="594"/>
      <c r="AQ172" s="595" t="s">
        <v>1125</v>
      </c>
      <c r="AR172" s="595"/>
    </row>
    <row r="173" spans="2:44" ht="18" customHeight="1">
      <c r="B173" s="642" t="s">
        <v>258</v>
      </c>
      <c r="C173" s="643"/>
      <c r="D173" s="373"/>
      <c r="F173" s="420"/>
      <c r="H173" s="395" t="s">
        <v>392</v>
      </c>
      <c r="I173" s="396">
        <f>+'1.HOUSE PRICE'!B24</f>
        <v>0</v>
      </c>
      <c r="Q173" s="374" t="str">
        <f>IF($C$178="Byron 19",'BYRON 19'!$C$4," ")</f>
        <v xml:space="preserve"> </v>
      </c>
      <c r="R173" s="375" t="str">
        <f>IF($C$178="Byron 19",'BYRON 22A'!$D$4," ")</f>
        <v xml:space="preserve"> </v>
      </c>
      <c r="S173" s="374" t="str">
        <f>IF($C$178="Byron 19",'BYRON 19'!$C$18," ")</f>
        <v xml:space="preserve"> </v>
      </c>
      <c r="T173" s="375" t="str">
        <f>IF($C$178="Byron 19",'BYRON 19'!$D$18," ")</f>
        <v xml:space="preserve"> </v>
      </c>
      <c r="U173" s="374" t="str">
        <f>IF($C$178="Byron 19",'BYRON 19'!$C$30," ")</f>
        <v xml:space="preserve"> </v>
      </c>
      <c r="V173" s="375" t="str">
        <f>IF($C$178="Byron 19",'BYRON 19'!$D$30," ")</f>
        <v xml:space="preserve"> </v>
      </c>
      <c r="W173" s="374" t="str">
        <f>IF($C$178="Byron 19",'BYRON 19'!$C$43," ")</f>
        <v xml:space="preserve"> </v>
      </c>
      <c r="X173" s="375" t="str">
        <f>IF($C$178="Byron 19",'BYRON 19'!$D$43," ")</f>
        <v xml:space="preserve"> </v>
      </c>
      <c r="Y173" s="374" t="str">
        <f>IF($C$178="Byron 19",'BYRON 19'!$C$53," ")</f>
        <v xml:space="preserve"> </v>
      </c>
      <c r="Z173" s="375" t="str">
        <f>IF($C$178="Byron 19",'BYRON 19'!$D$53," ")</f>
        <v xml:space="preserve"> </v>
      </c>
      <c r="AA173" s="374" t="str">
        <f>IF($C$178="Byron 19",'BYRON 19'!$C$61," ")</f>
        <v xml:space="preserve"> </v>
      </c>
      <c r="AB173" s="375" t="str">
        <f>IF($C$178="Byron 19",'BYRON 19'!$D$61," ")</f>
        <v xml:space="preserve"> </v>
      </c>
      <c r="AC173" s="374" t="str">
        <f>IF($C$178="Byron 19",'BYRON 19'!$C$67," ")</f>
        <v xml:space="preserve"> </v>
      </c>
      <c r="AD173" s="375" t="str">
        <f>IF($C$178="Byron 19",'BYRON 19'!$D$67," ")</f>
        <v xml:space="preserve"> </v>
      </c>
      <c r="AE173" s="374" t="str">
        <f>IF($C$178="Byron 19",'BYRON 19'!$C$76," ")</f>
        <v xml:space="preserve"> </v>
      </c>
      <c r="AF173" s="375" t="str">
        <f>IF($C$178="Byron 19",'BYRON 19'!$D$76," ")</f>
        <v xml:space="preserve"> </v>
      </c>
      <c r="AG173" s="500" t="str">
        <f>IF($C$178="Byron 19",'BYRON 19'!$C$81," ")</f>
        <v xml:space="preserve"> </v>
      </c>
      <c r="AH173" s="375" t="str">
        <f>IF($C$178="Byron 19",'BYRON 19'!$D$81," ")</f>
        <v xml:space="preserve"> </v>
      </c>
      <c r="AI173" s="500" t="str">
        <f>IF($C$178="Byron 19",'BYRON 19'!$C$101," ")</f>
        <v xml:space="preserve"> </v>
      </c>
      <c r="AJ173" s="375" t="str">
        <f>IF($C$178="Byron 19",'BYRON 19'!$D$101," ")</f>
        <v xml:space="preserve"> </v>
      </c>
      <c r="AK173" s="374" t="str">
        <f>IF($C$178="Byron 19",'BYRON 19'!$C$128," ")</f>
        <v xml:space="preserve"> </v>
      </c>
      <c r="AL173" s="375" t="str">
        <f>IF($C$178="Byron 19",'BYRON 19'!$D$128," ")</f>
        <v xml:space="preserve"> </v>
      </c>
      <c r="AM173" s="374" t="str">
        <f>IF($C$178="Byron 19",'BYRON 19'!$C$137," ")</f>
        <v xml:space="preserve"> </v>
      </c>
      <c r="AN173" s="375" t="str">
        <f>IF($C$178="Byron 19",'BYRON 19'!$D$137," ")</f>
        <v xml:space="preserve"> </v>
      </c>
      <c r="AO173" s="374" t="str">
        <f>IF($C$178="Byron 19",'BYRON 19'!$C$151," ")</f>
        <v xml:space="preserve"> </v>
      </c>
      <c r="AP173" s="375" t="str">
        <f>IF($C$178="Byron 19",'BYRON 19'!$D$151," ")</f>
        <v xml:space="preserve"> </v>
      </c>
      <c r="AQ173" s="374" t="str">
        <f>IF($C$178="Byron 19",'BYRON 19'!$C$158," ")</f>
        <v xml:space="preserve"> </v>
      </c>
      <c r="AR173" s="375" t="str">
        <f>IF($C$178="Byron 19",'BYRON 19'!$D$158," ")</f>
        <v xml:space="preserve"> </v>
      </c>
    </row>
    <row r="174" spans="2:44" ht="24.9" customHeight="1" thickBot="1">
      <c r="B174" s="644"/>
      <c r="C174" s="645"/>
      <c r="D174" s="441"/>
      <c r="E174" s="441"/>
      <c r="F174" s="442"/>
      <c r="H174" s="397" t="s">
        <v>393</v>
      </c>
      <c r="I174" s="396">
        <f>'2.TRAVEL'!B16</f>
        <v>0</v>
      </c>
      <c r="J174" s="398"/>
      <c r="Q174" s="377" t="str">
        <f>IF($C$178="Byron 19",'BYRON 19'!$C$5," ")</f>
        <v xml:space="preserve"> </v>
      </c>
      <c r="R174" s="378" t="str">
        <f>IF($C$178="Byron 19",'BYRON 19'!$D$5," ")</f>
        <v xml:space="preserve"> </v>
      </c>
      <c r="S174" s="377" t="str">
        <f>IF($C$178="Byron 19",'BYRON 19'!$C$19," ")</f>
        <v xml:space="preserve"> </v>
      </c>
      <c r="T174" s="378" t="str">
        <f>IF($C$178="Byron 19",'BYRON 19'!$D$19," ")</f>
        <v xml:space="preserve"> </v>
      </c>
      <c r="U174" s="377" t="str">
        <f>IF($C$178="Byron 19",'BYRON 19'!$C$31," ")</f>
        <v xml:space="preserve"> </v>
      </c>
      <c r="V174" s="378" t="str">
        <f>IF($C$178="Byron 19",'BYRON 19'!$D$31," ")</f>
        <v xml:space="preserve"> </v>
      </c>
      <c r="W174" s="377" t="str">
        <f>IF($C$178="Byron 19",'BYRON 19'!$C$44," ")</f>
        <v xml:space="preserve"> </v>
      </c>
      <c r="X174" s="378" t="str">
        <f>IF($C$178="Byron 19",'BYRON 19'!$D$44," ")</f>
        <v xml:space="preserve"> </v>
      </c>
      <c r="Y174" s="377" t="str">
        <f>IF($C$178="Byron 19",'BYRON 19'!$C$54," ")</f>
        <v xml:space="preserve"> </v>
      </c>
      <c r="Z174" s="378" t="str">
        <f>IF($C$178="Byron 19",'BYRON 19'!$D$54," ")</f>
        <v xml:space="preserve"> </v>
      </c>
      <c r="AA174" s="377" t="str">
        <f>IF($C$178="Byron 19",'BYRON 19'!$C$62," ")</f>
        <v xml:space="preserve"> </v>
      </c>
      <c r="AB174" s="378" t="str">
        <f>IF($C$178="Byron 19",'BYRON 19'!$D$62," ")</f>
        <v xml:space="preserve"> </v>
      </c>
      <c r="AC174" s="377" t="str">
        <f>IF($C$178="Byron 19",'BYRON 19'!$C$68," ")</f>
        <v xml:space="preserve"> </v>
      </c>
      <c r="AD174" s="378" t="str">
        <f>IF($C$178="Byron 19",'BYRON 19'!$D$68," ")</f>
        <v xml:space="preserve"> </v>
      </c>
      <c r="AE174" s="377" t="str">
        <f>IF($C$178="Byron 19",'BYRON 19'!$C$77," ")</f>
        <v xml:space="preserve"> </v>
      </c>
      <c r="AF174" s="378" t="str">
        <f>IF($C$178="Byron 19",'BYRON 19'!$D$77," ")</f>
        <v xml:space="preserve"> </v>
      </c>
      <c r="AG174" s="501" t="str">
        <f>IF($C$178="Byron 19",'BYRON 19'!$C$82," ")</f>
        <v xml:space="preserve"> </v>
      </c>
      <c r="AH174" s="378" t="str">
        <f>IF($C$178="Byron 19",'BYRON 19'!$D$82," ")</f>
        <v xml:space="preserve"> </v>
      </c>
      <c r="AI174" s="501" t="str">
        <f>IF($C$178="Byron 19",'BYRON 19'!$C$102," ")</f>
        <v xml:space="preserve"> </v>
      </c>
      <c r="AJ174" s="378" t="str">
        <f>IF($C$178="Byron 19",'BYRON 19'!$D$102," ")</f>
        <v xml:space="preserve"> </v>
      </c>
      <c r="AK174" s="377" t="str">
        <f>IF($C$178="Byron 19",'BYRON 19'!$C$129," ")</f>
        <v xml:space="preserve"> </v>
      </c>
      <c r="AL174" s="378" t="str">
        <f>IF($C$178="Byron 19",'BYRON 19'!$D$129," ")</f>
        <v xml:space="preserve"> </v>
      </c>
      <c r="AM174" s="377" t="str">
        <f>IF($C$178="Byron 19",'BYRON 19'!$C$138," ")</f>
        <v xml:space="preserve"> </v>
      </c>
      <c r="AN174" s="378" t="str">
        <f>IF($C$178="Byron 19",'BYRON 19'!$D$138," ")</f>
        <v xml:space="preserve"> </v>
      </c>
      <c r="AO174" s="377" t="str">
        <f>IF($C$178="Byron 19",'BYRON 19'!$C$152," ")</f>
        <v xml:space="preserve"> </v>
      </c>
      <c r="AP174" s="378" t="str">
        <f>IF($C$178="Byron 19",'BYRON 19'!$D$152," ")</f>
        <v xml:space="preserve"> </v>
      </c>
      <c r="AQ174" s="377" t="str">
        <f>IF($C$178="Byron 19",'BYRON 19'!$C$159," ")</f>
        <v xml:space="preserve"> </v>
      </c>
      <c r="AR174" s="378" t="str">
        <f>IF($C$178="Byron 19",'BYRON 19'!$D$159," ")</f>
        <v xml:space="preserve"> </v>
      </c>
    </row>
    <row r="175" spans="2:44" ht="18" customHeight="1">
      <c r="B175" s="370" t="s">
        <v>394</v>
      </c>
      <c r="C175" s="506" t="str">
        <f>IF(C47=0," ",C47)</f>
        <v xml:space="preserve"> </v>
      </c>
      <c r="D175" s="629" t="s">
        <v>395</v>
      </c>
      <c r="E175" s="630"/>
      <c r="F175" s="631"/>
      <c r="H175" s="397" t="s">
        <v>396</v>
      </c>
      <c r="I175" s="396">
        <f>+'2.TRAVEL'!I16</f>
        <v>0</v>
      </c>
      <c r="J175" s="399" t="s">
        <v>397</v>
      </c>
      <c r="K175" s="400"/>
      <c r="L175" s="401"/>
      <c r="M175" s="401"/>
      <c r="N175" s="401"/>
      <c r="O175" s="401"/>
      <c r="P175" s="401"/>
      <c r="Q175" s="377" t="str">
        <f>IF($C$178="Byron 19",'BYRON 19'!$C$6," ")</f>
        <v xml:space="preserve"> </v>
      </c>
      <c r="R175" s="378" t="str">
        <f>IF($C$178="Byron 19",'BYRON 19'!$D$6," ")</f>
        <v xml:space="preserve"> </v>
      </c>
      <c r="S175" s="377" t="str">
        <f>IF($C$178="Byron 19",'BYRON 19'!$C$20," ")</f>
        <v xml:space="preserve"> </v>
      </c>
      <c r="T175" s="378" t="str">
        <f>IF($C$178="Byron 19",'BYRON 19'!$D$20," ")</f>
        <v xml:space="preserve"> </v>
      </c>
      <c r="U175" s="377" t="str">
        <f>IF($C$178="Byron 19",'BYRON 19'!$C$32," ")</f>
        <v xml:space="preserve"> </v>
      </c>
      <c r="V175" s="378" t="str">
        <f>IF($C$178="Byron 19",'BYRON 19'!$D$32," ")</f>
        <v xml:space="preserve"> </v>
      </c>
      <c r="W175" s="377" t="str">
        <f>IF($C$178="Byron 19",'BYRON 19'!$C$45," ")</f>
        <v xml:space="preserve"> </v>
      </c>
      <c r="X175" s="378" t="str">
        <f>IF($C$178="Byron 19",'BYRON 19'!$D$45," ")</f>
        <v xml:space="preserve"> </v>
      </c>
      <c r="Y175" s="377" t="str">
        <f>IF($C$178="Byron 19",'BYRON 19'!$C$55," ")</f>
        <v xml:space="preserve"> </v>
      </c>
      <c r="Z175" s="378" t="str">
        <f>IF($C$178="Byron 19",'BYRON 19'!$D$55," ")</f>
        <v xml:space="preserve"> </v>
      </c>
      <c r="AA175" s="377" t="str">
        <f>IF($C$178="Byron 19",'BYRON 19'!$C$63," ")</f>
        <v xml:space="preserve"> </v>
      </c>
      <c r="AB175" s="378" t="str">
        <f>IF($C$178="Byron 19",'BYRON 19'!$D$63," ")</f>
        <v xml:space="preserve"> </v>
      </c>
      <c r="AC175" s="377" t="str">
        <f>IF($C$178="Byron 19",'BYRON 19'!$C$69," ")</f>
        <v xml:space="preserve"> </v>
      </c>
      <c r="AD175" s="378" t="str">
        <f>IF($C$178="Byron 19",'BYRON 19'!$D$69," ")</f>
        <v xml:space="preserve"> </v>
      </c>
      <c r="AE175" s="377" t="str">
        <f>IF($C$178="Byron 19",'BYRON 19'!$C$78," ")</f>
        <v xml:space="preserve"> </v>
      </c>
      <c r="AF175" s="378" t="str">
        <f>IF($C$178="Byron 19",'BYRON 19'!$D$78," ")</f>
        <v xml:space="preserve"> </v>
      </c>
      <c r="AG175" s="501" t="str">
        <f>IF($C$178="Byron 19",'BYRON 19'!$C$83," ")</f>
        <v xml:space="preserve"> </v>
      </c>
      <c r="AH175" s="378" t="str">
        <f>IF($C$178="Byron 19",'BYRON 19'!$D$83," ")</f>
        <v xml:space="preserve"> </v>
      </c>
      <c r="AI175" s="501" t="str">
        <f>IF($C$178="Byron 19",'BYRON 19'!$C$103," ")</f>
        <v xml:space="preserve"> </v>
      </c>
      <c r="AJ175" s="378" t="str">
        <f>IF($C$178="Byron 19",'BYRON 19'!$D$103," ")</f>
        <v xml:space="preserve"> </v>
      </c>
      <c r="AK175" s="377" t="str">
        <f>IF($C$178="Byron 19",'BYRON 19'!$C$130," ")</f>
        <v xml:space="preserve"> </v>
      </c>
      <c r="AL175" s="378" t="str">
        <f>IF($C$178="Byron 19",'BYRON 19'!$D$130," ")</f>
        <v xml:space="preserve"> </v>
      </c>
      <c r="AM175" s="377" t="str">
        <f>IF($C$178="Byron 19",'BYRON 19'!$C$139," ")</f>
        <v xml:space="preserve"> </v>
      </c>
      <c r="AN175" s="378" t="str">
        <f>IF($C$178="Byron 19",'BYRON 19'!$D$139," ")</f>
        <v xml:space="preserve"> </v>
      </c>
      <c r="AO175" s="377" t="str">
        <f>IF($C$178="Byron 19",'BYRON 19'!$C$153," ")</f>
        <v xml:space="preserve"> </v>
      </c>
      <c r="AP175" s="378" t="str">
        <f>IF($C$178="Byron 19",'BYRON 19'!$D$153," ")</f>
        <v xml:space="preserve"> </v>
      </c>
      <c r="AQ175" s="377" t="str">
        <f>IF($C$178="Byron 19",'BYRON 19'!$C$160," ")</f>
        <v xml:space="preserve"> </v>
      </c>
      <c r="AR175" s="378" t="str">
        <f>IF($C$178="Byron 19",'BYRON 19'!$D$160," ")</f>
        <v xml:space="preserve"> </v>
      </c>
    </row>
    <row r="176" spans="2:44" ht="18" customHeight="1">
      <c r="B176" s="369" t="s">
        <v>263</v>
      </c>
      <c r="C176" s="632" t="str">
        <f>IF(C51=0," ",C51)</f>
        <v xml:space="preserve"> </v>
      </c>
      <c r="D176" s="632"/>
      <c r="E176" s="632"/>
      <c r="F176" s="633"/>
      <c r="H176" s="402" t="s">
        <v>398</v>
      </c>
      <c r="I176" s="396">
        <f>+'1.HOUSE PRICE'!D24</f>
        <v>0</v>
      </c>
      <c r="J176" s="399" t="s">
        <v>397</v>
      </c>
      <c r="K176" s="403"/>
      <c r="L176" s="404"/>
      <c r="M176" s="404"/>
      <c r="N176" s="404"/>
      <c r="O176" s="404"/>
      <c r="P176" s="404"/>
      <c r="Q176" s="377" t="str">
        <f>IF($C$178="Byron 19",'BYRON 19'!$C$7," ")</f>
        <v xml:space="preserve"> </v>
      </c>
      <c r="R176" s="378" t="str">
        <f>IF($C$178="Byron 19",'BYRON 19'!$D$7," ")</f>
        <v xml:space="preserve"> </v>
      </c>
      <c r="S176" s="377" t="str">
        <f>IF($C$178="Byron 19",'BYRON 19'!$C$21," ")</f>
        <v xml:space="preserve"> </v>
      </c>
      <c r="T176" s="378" t="str">
        <f>IF($C$178="Byron 19",'BYRON 19'!$D$21," ")</f>
        <v xml:space="preserve"> </v>
      </c>
      <c r="U176" s="377" t="str">
        <f>IF($C$178="Byron 19",'BYRON 19'!$C$33," ")</f>
        <v xml:space="preserve"> </v>
      </c>
      <c r="V176" s="378" t="str">
        <f>IF($C$178="Byron 19",'BYRON 19'!$D$33," ")</f>
        <v xml:space="preserve"> </v>
      </c>
      <c r="W176" s="377" t="str">
        <f>IF($C$178="Byron 19",'BYRON 19'!$C$46," ")</f>
        <v xml:space="preserve"> </v>
      </c>
      <c r="X176" s="378" t="str">
        <f>IF($C$178="Byron 19",'BYRON 19'!$D$46," ")</f>
        <v xml:space="preserve"> </v>
      </c>
      <c r="Y176" s="377" t="str">
        <f>IF($C$178="Byron 19",'BYRON 19'!$C$56," ")</f>
        <v xml:space="preserve"> </v>
      </c>
      <c r="Z176" s="378" t="str">
        <f>IF($C$178="Byron 19",'BYRON 19'!$D$56," ")</f>
        <v xml:space="preserve"> </v>
      </c>
      <c r="AA176" s="380"/>
      <c r="AB176" s="381"/>
      <c r="AC176" s="377" t="str">
        <f>IF($C$178="Byron 19",'BYRON 19'!$C$70," ")</f>
        <v xml:space="preserve"> </v>
      </c>
      <c r="AD176" s="378" t="str">
        <f>IF($C$178="Byron 19",'BYRON 19'!$D$70," ")</f>
        <v xml:space="preserve"> </v>
      </c>
      <c r="AE176" s="382"/>
      <c r="AF176" s="382"/>
      <c r="AG176" s="501" t="str">
        <f>IF($C$178="Byron 19",'BYRON 19'!$C$84," ")</f>
        <v xml:space="preserve"> </v>
      </c>
      <c r="AH176" s="378" t="str">
        <f>IF($C$178="Byron 19",'BYRON 19'!$D$84," ")</f>
        <v xml:space="preserve"> </v>
      </c>
      <c r="AI176" s="501" t="str">
        <f>IF($C$178="Byron 19",'BYRON 19'!$C$104," ")</f>
        <v xml:space="preserve"> </v>
      </c>
      <c r="AJ176" s="378" t="str">
        <f>IF($C$178="Byron 19",'BYRON 19'!$D$104," ")</f>
        <v xml:space="preserve"> </v>
      </c>
      <c r="AK176" s="377" t="str">
        <f>IF($C$178="Byron 19",'BYRON 19'!$C$131," ")</f>
        <v xml:space="preserve"> </v>
      </c>
      <c r="AL176" s="378" t="str">
        <f>IF($C$178="Byron 19",'BYRON 19'!$D$131," ")</f>
        <v xml:space="preserve"> </v>
      </c>
      <c r="AM176" s="377" t="str">
        <f>IF($C$178="Byron 19",'BYRON 19'!$C$140," ")</f>
        <v xml:space="preserve"> </v>
      </c>
      <c r="AN176" s="378" t="str">
        <f>IF($C$178="Byron 19",'BYRON 19'!$D$140," ")</f>
        <v xml:space="preserve"> </v>
      </c>
      <c r="AO176" s="377" t="str">
        <f>IF($C$178="Byron 19",'BYRON 19'!$C$154," ")</f>
        <v xml:space="preserve"> </v>
      </c>
      <c r="AP176" s="378" t="str">
        <f>IF($C$178="Byron 19",'BYRON 19'!$D$154," ")</f>
        <v xml:space="preserve"> </v>
      </c>
      <c r="AQ176" s="377" t="str">
        <f>IF($C$178="Byron 19",'BYRON 19'!$C$161," ")</f>
        <v xml:space="preserve"> </v>
      </c>
      <c r="AR176" s="378" t="str">
        <f>IF($C$178="Byron 19",'BYRON 19'!$D$161," ")</f>
        <v xml:space="preserve"> </v>
      </c>
    </row>
    <row r="177" spans="2:44" ht="18" customHeight="1">
      <c r="B177" s="367"/>
      <c r="C177" s="368"/>
      <c r="D177" s="443" t="s">
        <v>399</v>
      </c>
      <c r="E177" s="443" t="s">
        <v>400</v>
      </c>
      <c r="F177" s="444" t="s">
        <v>401</v>
      </c>
      <c r="H177" s="397" t="s">
        <v>402</v>
      </c>
      <c r="I177" s="396">
        <f>+'1.HOUSE PRICE'!E24</f>
        <v>0</v>
      </c>
      <c r="J177" s="399" t="s">
        <v>397</v>
      </c>
      <c r="K177" s="403"/>
      <c r="L177" s="404"/>
      <c r="M177" s="404"/>
      <c r="N177" s="404"/>
      <c r="O177" s="404"/>
      <c r="P177" s="404"/>
      <c r="Q177" s="377" t="str">
        <f>IF($C$178="Byron 19",'BYRON 19'!$C$8," ")</f>
        <v xml:space="preserve"> </v>
      </c>
      <c r="R177" s="378" t="str">
        <f>IF($C$178="Byron 19",'BYRON 19'!$D$8," ")</f>
        <v xml:space="preserve"> </v>
      </c>
      <c r="S177" s="377" t="str">
        <f>IF($C$178="Byron 19",'BYRON 19'!$C$22," ")</f>
        <v xml:space="preserve"> </v>
      </c>
      <c r="T177" s="378" t="str">
        <f>IF($C$178="Byron 19",'BYRON 19'!$D$22," ")</f>
        <v xml:space="preserve"> </v>
      </c>
      <c r="U177" s="377" t="str">
        <f>IF($C$178="Byron 19",'BYRON 19'!$C$34," ")</f>
        <v xml:space="preserve"> </v>
      </c>
      <c r="V177" s="378" t="str">
        <f>IF($C$178="Byron 19",'BYRON 19'!$D$34," ")</f>
        <v xml:space="preserve"> </v>
      </c>
      <c r="W177" s="377" t="str">
        <f>IF($C$178="Byron 19",'BYRON 19'!$C$47," ")</f>
        <v xml:space="preserve"> </v>
      </c>
      <c r="X177" s="378" t="str">
        <f>IF($C$178="Byron 19",'BYRON 19'!$D$47," ")</f>
        <v xml:space="preserve"> </v>
      </c>
      <c r="Y177" s="377" t="str">
        <f>IF($C$178="Byron 19",'BYRON 19'!$C$57," ")</f>
        <v xml:space="preserve"> </v>
      </c>
      <c r="Z177" s="378" t="str">
        <f>IF($C$178="Byron 19",'BYRON 19'!$D$57," ")</f>
        <v xml:space="preserve"> </v>
      </c>
      <c r="AA177" s="380"/>
      <c r="AB177" s="381"/>
      <c r="AC177" s="377" t="str">
        <f>IF($C$178="Byron 19",'BYRON 19'!$C$71," ")</f>
        <v xml:space="preserve"> </v>
      </c>
      <c r="AD177" s="378" t="str">
        <f>IF($C$178="Byron 19",'BYRON 19'!$D$71," ")</f>
        <v xml:space="preserve"> </v>
      </c>
      <c r="AE177" s="382"/>
      <c r="AF177" s="382"/>
      <c r="AG177" s="501" t="str">
        <f>IF($C$178="Byron 19",'BYRON 19'!$C$85," ")</f>
        <v xml:space="preserve"> </v>
      </c>
      <c r="AH177" s="378" t="str">
        <f>IF($C$178="Byron 19",'BYRON 19'!$D$85," ")</f>
        <v xml:space="preserve"> </v>
      </c>
      <c r="AI177" s="501" t="str">
        <f>IF($C$178="Byron 19",'BYRON 19'!$C$105," ")</f>
        <v xml:space="preserve"> </v>
      </c>
      <c r="AJ177" s="378" t="str">
        <f>IF($C$178="Byron 19",'BYRON 19'!$D$105," ")</f>
        <v xml:space="preserve"> </v>
      </c>
      <c r="AK177" s="377" t="str">
        <f>IF($C$178="Byron 19",'BYRON 19'!$C$132," ")</f>
        <v xml:space="preserve"> </v>
      </c>
      <c r="AL177" s="378" t="str">
        <f>IF($C$178="Byron 19",'BYRON 19'!$D$132," ")</f>
        <v xml:space="preserve"> </v>
      </c>
      <c r="AM177" s="377" t="str">
        <f>IF($C$178="Byron 19",'BYRON 19'!$C$141," ")</f>
        <v xml:space="preserve"> </v>
      </c>
      <c r="AN177" s="378" t="str">
        <f>IF($C$178="Byron 19",'BYRON 19'!$D$141," ")</f>
        <v xml:space="preserve"> </v>
      </c>
      <c r="AO177" s="377" t="str">
        <f>IF($C$178="Byron 19",'BYRON 19'!$C$155," ")</f>
        <v xml:space="preserve"> </v>
      </c>
      <c r="AP177" s="378" t="str">
        <f>IF($C$178="Byron 19",'BYRON 19'!$D$155," ")</f>
        <v xml:space="preserve"> </v>
      </c>
      <c r="AQ177" s="377" t="str">
        <f>IF($C$178="Byron 19",'BYRON 19'!$C$162," ")</f>
        <v xml:space="preserve"> </v>
      </c>
      <c r="AR177" s="378" t="str">
        <f>IF($C$178="Byron 19",'BYRON 19'!$D$162," ")</f>
        <v xml:space="preserve"> </v>
      </c>
    </row>
    <row r="178" spans="2:44" ht="21.6" customHeight="1">
      <c r="B178" s="369" t="s">
        <v>403</v>
      </c>
      <c r="C178" s="360" t="str">
        <f>+'1.HOUSE PRICE'!A24</f>
        <v xml:space="preserve"> </v>
      </c>
      <c r="D178" s="364">
        <f>SUM(I181)</f>
        <v>0</v>
      </c>
      <c r="E178" s="487"/>
      <c r="F178" s="363">
        <f>SUM(E178-D178)</f>
        <v>0</v>
      </c>
      <c r="H178" s="405" t="s">
        <v>404</v>
      </c>
      <c r="I178" s="409"/>
      <c r="Q178" s="377" t="str">
        <f>IF($C$178="Byron 19",'BYRON 19'!$C$9," ")</f>
        <v xml:space="preserve"> </v>
      </c>
      <c r="R178" s="378" t="str">
        <f>IF($C$178="Byron 19",'BYRON 19'!$D$9," ")</f>
        <v xml:space="preserve"> </v>
      </c>
      <c r="S178" s="377" t="str">
        <f>IF($C$178="Byron 19",'BYRON 19'!$C$23," ")</f>
        <v xml:space="preserve"> </v>
      </c>
      <c r="T178" s="378" t="str">
        <f>IF($C$178="Byron 19",'BYRON 19'!$D$23," ")</f>
        <v xml:space="preserve"> </v>
      </c>
      <c r="U178" s="377" t="str">
        <f>IF($C$178="Byron 19",'BYRON 19'!$C$35," ")</f>
        <v xml:space="preserve"> </v>
      </c>
      <c r="V178" s="378" t="str">
        <f>IF($C$178="Byron 19",'BYRON 19'!$D$35," ")</f>
        <v xml:space="preserve"> </v>
      </c>
      <c r="W178" s="377" t="str">
        <f>IF($C$178="Byron 19",'BYRON 19'!$C$48," ")</f>
        <v xml:space="preserve"> </v>
      </c>
      <c r="X178" s="378" t="str">
        <f>IF($C$178="Byron 19",'BYRON 19'!$D$48," ")</f>
        <v xml:space="preserve"> </v>
      </c>
      <c r="Y178" s="377" t="str">
        <f>IF($C$178="Byron 19",'BYRON 19'!$C$58," ")</f>
        <v xml:space="preserve"> </v>
      </c>
      <c r="Z178" s="378" t="str">
        <f>IF($C$178="Byron 19",'BYRON 19'!$D$58," ")</f>
        <v xml:space="preserve"> </v>
      </c>
      <c r="AA178" s="380"/>
      <c r="AB178" s="381"/>
      <c r="AC178" s="377" t="str">
        <f>IF($C$178="Byron 19",'BYRON 19'!$C$72," ")</f>
        <v xml:space="preserve"> </v>
      </c>
      <c r="AD178" s="378" t="str">
        <f>IF($C$178="Byron 19",'BYRON 19'!$D$72," ")</f>
        <v xml:space="preserve"> </v>
      </c>
      <c r="AE178" s="382"/>
      <c r="AF178" s="382"/>
      <c r="AG178" s="501" t="str">
        <f>IF($C$178="Byron 19",'BYRON 19'!$C$86," ")</f>
        <v xml:space="preserve"> </v>
      </c>
      <c r="AH178" s="378" t="str">
        <f>IF($C$178="Byron 19",'BYRON 19'!$D$86," ")</f>
        <v xml:space="preserve"> </v>
      </c>
      <c r="AI178" s="501" t="str">
        <f>IF($C$178="Byron 19",'BYRON 19'!$C$106," ")</f>
        <v xml:space="preserve"> </v>
      </c>
      <c r="AJ178" s="378" t="str">
        <f>IF($C$178="Byron 19",'BYRON 19'!$D$106," ")</f>
        <v xml:space="preserve"> </v>
      </c>
      <c r="AK178" s="377" t="str">
        <f>IF($C$178="Byron 19",'BYRON 19'!$C$133," ")</f>
        <v xml:space="preserve"> </v>
      </c>
      <c r="AL178" s="378" t="str">
        <f>IF($C$178="Byron 19",'BYRON 19'!$D$133," ")</f>
        <v xml:space="preserve"> </v>
      </c>
      <c r="AM178" s="377" t="str">
        <f>IF($C$178="Byron 19",'BYRON 19'!$C$142," ")</f>
        <v xml:space="preserve"> </v>
      </c>
      <c r="AN178" s="378" t="str">
        <f>IF($C$178="Byron 19",'BYRON 19'!$D$142," ")</f>
        <v xml:space="preserve"> </v>
      </c>
      <c r="AO178" s="380"/>
      <c r="AP178" s="381"/>
      <c r="AQ178" s="377" t="str">
        <f>IF($C$178="Byron 19",'BYRON 19'!$C$163," ")</f>
        <v xml:space="preserve"> </v>
      </c>
      <c r="AR178" s="378" t="str">
        <f>IF($C$178="Byron 19",'BYRON 19'!$D$163," ")</f>
        <v xml:space="preserve"> </v>
      </c>
    </row>
    <row r="179" spans="2:44" ht="18" customHeight="1">
      <c r="B179" s="610" t="s">
        <v>1208</v>
      </c>
      <c r="C179" s="611"/>
      <c r="D179" s="611"/>
      <c r="E179" s="611"/>
      <c r="F179" s="612"/>
      <c r="H179" s="489"/>
      <c r="I179" s="490"/>
      <c r="J179" s="388"/>
      <c r="Q179" s="377" t="str">
        <f>IF($C$178="Byron 19",'BYRON 19'!$C$10," ")</f>
        <v xml:space="preserve"> </v>
      </c>
      <c r="R179" s="378" t="str">
        <f>IF($C$178="Byron 19",'BYRON 19'!$D$10," ")</f>
        <v xml:space="preserve"> </v>
      </c>
      <c r="S179" s="377" t="str">
        <f>IF($C$178="Byron 19",'BYRON 19'!$C$24," ")</f>
        <v xml:space="preserve"> </v>
      </c>
      <c r="T179" s="378" t="str">
        <f>IF($C$178="Byron 19",'BYRON 19'!$D$24," ")</f>
        <v xml:space="preserve"> </v>
      </c>
      <c r="U179" s="377" t="str">
        <f>IF($C$178="Byron 19",'BYRON 19'!$C$36," ")</f>
        <v xml:space="preserve"> </v>
      </c>
      <c r="V179" s="378" t="str">
        <f>IF($C$178="Byron 19",'BYRON 19'!$D$36," ")</f>
        <v xml:space="preserve"> </v>
      </c>
      <c r="W179" s="377" t="str">
        <f>IF($C$178="Byron 19",'BYRON 19'!$C$49," ")</f>
        <v xml:space="preserve"> </v>
      </c>
      <c r="X179" s="378" t="str">
        <f>IF($C$178="Byron 19",'BYRON 19'!$D$49," ")</f>
        <v xml:space="preserve"> </v>
      </c>
      <c r="Y179" s="380"/>
      <c r="Z179" s="381"/>
      <c r="AA179" s="380"/>
      <c r="AB179" s="381"/>
      <c r="AC179" s="377" t="str">
        <f>IF($C$178="Byron 19",'BYRON 19'!$C$73," ")</f>
        <v xml:space="preserve"> </v>
      </c>
      <c r="AD179" s="378" t="str">
        <f>IF($C$178="Byron 19",'BYRON 19'!$D$73," ")</f>
        <v xml:space="preserve"> </v>
      </c>
      <c r="AE179" s="382"/>
      <c r="AF179" s="382"/>
      <c r="AG179" s="501" t="str">
        <f>IF($C$178="Byron 19",'BYRON 19'!$C$87," ")</f>
        <v xml:space="preserve"> </v>
      </c>
      <c r="AH179" s="378" t="str">
        <f>IF($C$178="Byron 19",'BYRON 19'!$D$87," ")</f>
        <v xml:space="preserve"> </v>
      </c>
      <c r="AI179" s="501" t="str">
        <f>IF($C$178="Byron 19",'BYRON 19'!$C$107," ")</f>
        <v xml:space="preserve"> </v>
      </c>
      <c r="AJ179" s="378" t="str">
        <f>IF($C$178="Byron 19",'BYRON 19'!$D$107," ")</f>
        <v xml:space="preserve"> </v>
      </c>
      <c r="AK179" s="380"/>
      <c r="AL179" s="381"/>
      <c r="AM179" s="377" t="str">
        <f>IF($C$178="Byron 19",'BYRON 19'!$C$143," ")</f>
        <v xml:space="preserve"> </v>
      </c>
      <c r="AN179" s="378" t="str">
        <f>IF($C$178="Byron 19",'BYRON 19'!$D$143," ")</f>
        <v xml:space="preserve"> </v>
      </c>
      <c r="AO179" s="380"/>
      <c r="AP179" s="381"/>
      <c r="AQ179" s="377" t="str">
        <f>IF($C$178="Byron 19",'BYRON 19'!$C$164," ")</f>
        <v xml:space="preserve"> </v>
      </c>
      <c r="AR179" s="378" t="str">
        <f>IF($C$178="Byron 19",'BYRON 19'!$D$164," ")</f>
        <v xml:space="preserve"> </v>
      </c>
    </row>
    <row r="180" spans="2:44" ht="18" customHeight="1">
      <c r="B180" s="608" t="s">
        <v>1127</v>
      </c>
      <c r="C180" s="609"/>
      <c r="D180" s="488">
        <v>0</v>
      </c>
      <c r="E180" s="445"/>
      <c r="F180" s="363">
        <f t="shared" ref="F180:F186" si="0">SUM(E180-D180)</f>
        <v>0</v>
      </c>
      <c r="H180" s="491"/>
      <c r="I180" s="492"/>
      <c r="Q180" s="377" t="str">
        <f>IF($C$178="Byron 19",'BYRON 19'!$C$11," ")</f>
        <v xml:space="preserve"> </v>
      </c>
      <c r="R180" s="378" t="str">
        <f>IF($C$178="Byron 19",'BYRON 19'!$D$11," ")</f>
        <v xml:space="preserve"> </v>
      </c>
      <c r="S180" s="377" t="str">
        <f>IF($C$178="Byron 19",'BYRON 19'!$C$25," ")</f>
        <v xml:space="preserve"> </v>
      </c>
      <c r="T180" s="378" t="str">
        <f>IF($C$178="Byron 19",'BYRON 19'!$D$25," ")</f>
        <v xml:space="preserve"> </v>
      </c>
      <c r="U180" s="377" t="str">
        <f>IF($C$178="Byron 19",'BYRON 19'!$C$37," ")</f>
        <v xml:space="preserve"> </v>
      </c>
      <c r="V180" s="378" t="str">
        <f>IF($C$178="Byron 19",'BYRON 19'!$D$37," ")</f>
        <v xml:space="preserve"> </v>
      </c>
      <c r="W180" s="377" t="str">
        <f>IF($C$178="Byron 19",'BYRON 19'!$C$50," ")</f>
        <v xml:space="preserve"> </v>
      </c>
      <c r="X180" s="378" t="str">
        <f>IF($C$178="Byron 19",'BYRON 19'!$D$50," ")</f>
        <v xml:space="preserve"> </v>
      </c>
      <c r="Y180" s="380"/>
      <c r="Z180" s="381"/>
      <c r="AA180" s="380"/>
      <c r="AB180" s="381"/>
      <c r="AC180" s="382"/>
      <c r="AD180" s="382"/>
      <c r="AE180" s="382"/>
      <c r="AF180" s="382"/>
      <c r="AG180" s="501" t="str">
        <f>IF($C$178="Byron 19",'BYRON 19'!$C$88," ")</f>
        <v xml:space="preserve"> </v>
      </c>
      <c r="AH180" s="378" t="str">
        <f>IF($C$178="Byron 19",'BYRON 19'!$D$88," ")</f>
        <v xml:space="preserve"> </v>
      </c>
      <c r="AI180" s="501" t="str">
        <f>IF($C$178="Byron 19",'BYRON 19'!$C$108," ")</f>
        <v xml:space="preserve"> </v>
      </c>
      <c r="AJ180" s="378" t="str">
        <f>IF($C$178="Byron 19",'BYRON 19'!$D$108," ")</f>
        <v xml:space="preserve"> </v>
      </c>
      <c r="AK180" s="380"/>
      <c r="AL180" s="381"/>
      <c r="AM180" s="377" t="str">
        <f>IF($C$178="Byron 19",'BYRON 19'!$C$144," ")</f>
        <v xml:space="preserve"> </v>
      </c>
      <c r="AN180" s="378" t="str">
        <f>IF($C$178="Byron 19",'BYRON 19'!$D$144," ")</f>
        <v xml:space="preserve"> </v>
      </c>
      <c r="AO180" s="380"/>
      <c r="AP180" s="381"/>
      <c r="AQ180" s="380"/>
      <c r="AR180" s="381"/>
    </row>
    <row r="181" spans="2:44" ht="18" customHeight="1">
      <c r="B181" s="608" t="s">
        <v>1128</v>
      </c>
      <c r="C181" s="609"/>
      <c r="D181" s="488">
        <v>0</v>
      </c>
      <c r="E181" s="445"/>
      <c r="F181" s="363">
        <f t="shared" si="0"/>
        <v>0</v>
      </c>
      <c r="H181" s="405" t="s">
        <v>151</v>
      </c>
      <c r="I181" s="408">
        <f>SUM(I173:I180)</f>
        <v>0</v>
      </c>
      <c r="Q181" s="377" t="str">
        <f>IF($C$178="Byron 19",'BYRON 19'!$C$12," ")</f>
        <v xml:space="preserve"> </v>
      </c>
      <c r="R181" s="378" t="str">
        <f>IF($C$178="Byron 19",'BYRON 19'!$D$12," ")</f>
        <v xml:space="preserve"> </v>
      </c>
      <c r="S181" s="377" t="str">
        <f>IF($C$178="Byron 19",'BYRON 19'!$C$26," ")</f>
        <v xml:space="preserve"> </v>
      </c>
      <c r="T181" s="378" t="str">
        <f>IF($C$178="Byron 19",'BYRON 19'!$D$26," ")</f>
        <v xml:space="preserve"> </v>
      </c>
      <c r="U181" s="377" t="str">
        <f>IF($C$178="Byron 19",'BYRON 19'!$C$38," ")</f>
        <v xml:space="preserve"> </v>
      </c>
      <c r="V181" s="378" t="str">
        <f>IF($C$178="Byron 19",'BYRON 19'!$D$38," ")</f>
        <v xml:space="preserve"> </v>
      </c>
      <c r="W181" s="380"/>
      <c r="X181" s="381"/>
      <c r="Y181" s="380"/>
      <c r="Z181" s="381"/>
      <c r="AA181" s="380"/>
      <c r="AB181" s="381"/>
      <c r="AC181" s="382"/>
      <c r="AD181" s="382"/>
      <c r="AE181" s="382"/>
      <c r="AF181" s="382"/>
      <c r="AG181" s="501" t="str">
        <f>IF($C$178="Byron 19",'BYRON 19'!$C$89," ")</f>
        <v xml:space="preserve"> </v>
      </c>
      <c r="AH181" s="378" t="str">
        <f>IF($C$178="Byron 19",'BYRON 19'!$D$89," ")</f>
        <v xml:space="preserve"> </v>
      </c>
      <c r="AI181" s="501" t="str">
        <f>IF($C$178="Byron 19",'BYRON 19'!$C$109," ")</f>
        <v xml:space="preserve"> </v>
      </c>
      <c r="AJ181" s="378" t="str">
        <f>IF($C$178="Byron 19",'BYRON 19'!$D$109," ")</f>
        <v xml:space="preserve"> </v>
      </c>
      <c r="AK181" s="380"/>
      <c r="AL181" s="381"/>
      <c r="AM181" s="377" t="str">
        <f>IF($C$178="Byron 19",'BYRON 19'!$C$145," ")</f>
        <v xml:space="preserve"> </v>
      </c>
      <c r="AN181" s="378" t="str">
        <f>IF($C$178="Byron 19",'BYRON 19'!$D$145," ")</f>
        <v xml:space="preserve"> </v>
      </c>
      <c r="AO181" s="380"/>
      <c r="AP181" s="381"/>
      <c r="AQ181" s="380"/>
      <c r="AR181" s="381"/>
    </row>
    <row r="182" spans="2:44" ht="18" customHeight="1">
      <c r="B182" s="608" t="s">
        <v>1129</v>
      </c>
      <c r="C182" s="609"/>
      <c r="D182" s="488">
        <v>0</v>
      </c>
      <c r="E182" s="445"/>
      <c r="F182" s="363">
        <f t="shared" si="0"/>
        <v>0</v>
      </c>
      <c r="G182" s="389"/>
      <c r="Q182" s="377" t="str">
        <f>IF($C$178="Byron 19",'BYRON 19'!$C$13," ")</f>
        <v xml:space="preserve"> </v>
      </c>
      <c r="R182" s="378" t="str">
        <f>IF($C$178="Byron 19",'BYRON 19'!$D$13," ")</f>
        <v xml:space="preserve"> </v>
      </c>
      <c r="S182" s="382"/>
      <c r="T182" s="382"/>
      <c r="U182" s="377" t="str">
        <f>IF($C$178="Byron 19",'BYRON 19'!$C$39," ")</f>
        <v xml:space="preserve"> </v>
      </c>
      <c r="V182" s="378" t="str">
        <f>IF($C$178="Byron 19",'BYRON 19'!$D$39," ")</f>
        <v xml:space="preserve"> </v>
      </c>
      <c r="W182" s="380"/>
      <c r="X182" s="381"/>
      <c r="Y182" s="380"/>
      <c r="Z182" s="381"/>
      <c r="AA182" s="380"/>
      <c r="AB182" s="381"/>
      <c r="AC182" s="382"/>
      <c r="AD182" s="382"/>
      <c r="AE182" s="382"/>
      <c r="AF182" s="382"/>
      <c r="AG182" s="501" t="str">
        <f>IF($C$178="Byron 19",'BYRON 19'!$C$90," ")</f>
        <v xml:space="preserve"> </v>
      </c>
      <c r="AH182" s="378" t="str">
        <f>IF($C$178="Byron 19",'BYRON 19'!$D$90," ")</f>
        <v xml:space="preserve"> </v>
      </c>
      <c r="AI182" s="501" t="str">
        <f>IF($C$178="Byron 19",'BYRON 19'!$C$110," ")</f>
        <v xml:space="preserve"> </v>
      </c>
      <c r="AJ182" s="378" t="str">
        <f>IF($C$178="Byron 19",'BYRON 19'!$D$110," ")</f>
        <v xml:space="preserve"> </v>
      </c>
      <c r="AK182" s="380"/>
      <c r="AL182" s="381"/>
      <c r="AM182" s="377" t="str">
        <f>IF($C$178="Byron 19",'BYRON 19'!$C$146," ")</f>
        <v xml:space="preserve"> </v>
      </c>
      <c r="AN182" s="378" t="str">
        <f>IF($C$178="Byron 19",'BYRON 19'!$D$146," ")</f>
        <v xml:space="preserve"> </v>
      </c>
      <c r="AO182" s="380"/>
      <c r="AP182" s="381"/>
      <c r="AQ182" s="380"/>
      <c r="AR182" s="381"/>
    </row>
    <row r="183" spans="2:44" ht="18" customHeight="1">
      <c r="B183" s="608" t="s">
        <v>1130</v>
      </c>
      <c r="C183" s="609"/>
      <c r="D183" s="488">
        <v>0</v>
      </c>
      <c r="E183" s="445"/>
      <c r="F183" s="363">
        <f t="shared" si="0"/>
        <v>0</v>
      </c>
      <c r="Q183" s="377" t="str">
        <f>IF($C$178="Byron 19",'BYRON 19'!$C$14," ")</f>
        <v xml:space="preserve"> </v>
      </c>
      <c r="R183" s="378" t="str">
        <f>IF($C$178="Byron 19",'BYRON 19'!$D$14," ")</f>
        <v xml:space="preserve"> </v>
      </c>
      <c r="S183" s="382"/>
      <c r="T183" s="382"/>
      <c r="U183" s="377" t="str">
        <f>IF($C$178="Byron 19",'BYRON 19'!$C$40," ")</f>
        <v xml:space="preserve"> </v>
      </c>
      <c r="V183" s="378" t="str">
        <f>IF($C$178="Byron 19",'BYRON 19'!$D$40," ")</f>
        <v xml:space="preserve"> </v>
      </c>
      <c r="W183" s="380"/>
      <c r="X183" s="381"/>
      <c r="Y183" s="380"/>
      <c r="Z183" s="381"/>
      <c r="AA183" s="380"/>
      <c r="AB183" s="381"/>
      <c r="AC183" s="382"/>
      <c r="AD183" s="382"/>
      <c r="AE183" s="382"/>
      <c r="AF183" s="382"/>
      <c r="AG183" s="501" t="str">
        <f>IF($C$178="Byron 19",'BYRON 19'!$C$91," ")</f>
        <v xml:space="preserve"> </v>
      </c>
      <c r="AH183" s="378" t="str">
        <f>IF($C$178="Byron 19",'BYRON 19'!$D$91," ")</f>
        <v xml:space="preserve"> </v>
      </c>
      <c r="AI183" s="501" t="str">
        <f>IF($C$178="Byron 19",'BYRON 19'!$C$111," ")</f>
        <v xml:space="preserve"> </v>
      </c>
      <c r="AJ183" s="378" t="str">
        <f>IF($C$178="Byron 19",'BYRON 19'!$D$111," ")</f>
        <v xml:space="preserve"> </v>
      </c>
      <c r="AK183" s="380"/>
      <c r="AL183" s="381"/>
      <c r="AM183" s="377" t="str">
        <f>IF($C$178="Byron 19",'BYRON 19'!$C$147," ")</f>
        <v xml:space="preserve"> </v>
      </c>
      <c r="AN183" s="378" t="str">
        <f>IF($C$178="Byron 19",'BYRON 19'!$D$147," ")</f>
        <v xml:space="preserve"> </v>
      </c>
      <c r="AO183" s="380"/>
      <c r="AP183" s="381"/>
      <c r="AQ183" s="380"/>
      <c r="AR183" s="381"/>
    </row>
    <row r="184" spans="2:44" ht="18" customHeight="1">
      <c r="B184" s="613" t="s">
        <v>1210</v>
      </c>
      <c r="C184" s="614"/>
      <c r="D184" s="511">
        <v>0</v>
      </c>
      <c r="E184" s="512"/>
      <c r="F184" s="513">
        <f t="shared" ref="F184" si="1">SUM(E184-D184)</f>
        <v>0</v>
      </c>
      <c r="Q184" s="377" t="str">
        <f>IF($C$178="Byron 19",'BYRON 19'!$C$14," ")</f>
        <v xml:space="preserve"> </v>
      </c>
      <c r="R184" s="378" t="str">
        <f>IF($C$178="Byron 19",'BYRON 19'!$D$14," ")</f>
        <v xml:space="preserve"> </v>
      </c>
      <c r="S184" s="382"/>
      <c r="T184" s="382"/>
      <c r="U184" s="377" t="str">
        <f>IF($C$178="Byron 19",'BYRON 19'!$C$40," ")</f>
        <v xml:space="preserve"> </v>
      </c>
      <c r="V184" s="378" t="str">
        <f>IF($C$178="Byron 19",'BYRON 19'!$D$40," ")</f>
        <v xml:space="preserve"> </v>
      </c>
      <c r="W184" s="380"/>
      <c r="X184" s="381"/>
      <c r="Y184" s="380"/>
      <c r="Z184" s="381"/>
      <c r="AA184" s="380"/>
      <c r="AB184" s="381"/>
      <c r="AC184" s="382"/>
      <c r="AD184" s="382"/>
      <c r="AE184" s="382"/>
      <c r="AF184" s="382"/>
      <c r="AG184" s="501" t="str">
        <f>IF($C$178="Byron 19",'BYRON 19'!$C$91," ")</f>
        <v xml:space="preserve"> </v>
      </c>
      <c r="AH184" s="378" t="str">
        <f>IF($C$178="Byron 19",'BYRON 19'!$D$91," ")</f>
        <v xml:space="preserve"> </v>
      </c>
      <c r="AI184" s="501" t="str">
        <f>IF($C$178="Byron 19",'BYRON 19'!$C$111," ")</f>
        <v xml:space="preserve"> </v>
      </c>
      <c r="AJ184" s="378" t="str">
        <f>IF($C$178="Byron 19",'BYRON 19'!$D$111," ")</f>
        <v xml:space="preserve"> </v>
      </c>
      <c r="AK184" s="380"/>
      <c r="AL184" s="381"/>
      <c r="AM184" s="377" t="str">
        <f>IF($C$178="Byron 19",'BYRON 19'!$C$147," ")</f>
        <v xml:space="preserve"> </v>
      </c>
      <c r="AN184" s="378" t="str">
        <f>IF($C$178="Byron 19",'BYRON 19'!$D$147," ")</f>
        <v xml:space="preserve"> </v>
      </c>
      <c r="AO184" s="380"/>
      <c r="AP184" s="381"/>
      <c r="AQ184" s="380"/>
      <c r="AR184" s="381"/>
    </row>
    <row r="185" spans="2:44" ht="18" customHeight="1">
      <c r="B185" s="608" t="s">
        <v>1131</v>
      </c>
      <c r="C185" s="609"/>
      <c r="D185" s="488">
        <v>0</v>
      </c>
      <c r="E185" s="445"/>
      <c r="F185" s="363">
        <f t="shared" si="0"/>
        <v>0</v>
      </c>
      <c r="Q185" s="382"/>
      <c r="R185" s="483"/>
      <c r="S185" s="382"/>
      <c r="T185" s="382"/>
      <c r="U185" s="382"/>
      <c r="V185" s="382"/>
      <c r="W185" s="382"/>
      <c r="X185" s="382"/>
      <c r="Y185" s="382"/>
      <c r="Z185" s="382"/>
      <c r="AA185" s="382"/>
      <c r="AB185" s="382"/>
      <c r="AC185" s="382"/>
      <c r="AD185" s="382"/>
      <c r="AE185" s="382"/>
      <c r="AF185" s="382"/>
      <c r="AG185" s="501" t="str">
        <f>IF($C$178="Byron 19",'BYRON 19'!$C$94," ")</f>
        <v xml:space="preserve"> </v>
      </c>
      <c r="AH185" s="378" t="str">
        <f>IF($C$178="Byron 19",'BYRON 19'!$D$94," ")</f>
        <v xml:space="preserve"> </v>
      </c>
      <c r="AI185" s="501" t="str">
        <f>IF($C$178="Byron 19",'BYRON 19'!$C$114," ")</f>
        <v xml:space="preserve"> </v>
      </c>
      <c r="AJ185" s="378" t="str">
        <f>IF($C$178="Byron 19",'BYRON 19'!$D$114," ")</f>
        <v xml:space="preserve"> </v>
      </c>
      <c r="AK185" s="380"/>
      <c r="AL185" s="381"/>
      <c r="AM185" s="380"/>
      <c r="AN185" s="381"/>
      <c r="AO185" s="380"/>
      <c r="AP185" s="381"/>
      <c r="AQ185" s="380"/>
      <c r="AR185" s="381"/>
    </row>
    <row r="186" spans="2:44" ht="18" customHeight="1">
      <c r="B186" s="608" t="s">
        <v>1195</v>
      </c>
      <c r="C186" s="622"/>
      <c r="D186" s="505">
        <v>1950</v>
      </c>
      <c r="E186" s="445"/>
      <c r="F186" s="503">
        <f t="shared" si="0"/>
        <v>-1950</v>
      </c>
      <c r="Q186" s="382"/>
      <c r="R186" s="504"/>
      <c r="S186" s="382"/>
      <c r="T186" s="382"/>
      <c r="U186" s="382"/>
      <c r="V186" s="382"/>
      <c r="W186" s="382"/>
      <c r="X186" s="382"/>
      <c r="Y186" s="382"/>
      <c r="Z186" s="382"/>
      <c r="AA186" s="382"/>
      <c r="AB186" s="382"/>
      <c r="AC186" s="382"/>
      <c r="AD186" s="382"/>
      <c r="AE186" s="382"/>
      <c r="AF186" s="382"/>
      <c r="AG186" s="501" t="str">
        <f>IF($C$178="Byron 19",'BYRON 19'!$C$95," ")</f>
        <v xml:space="preserve"> </v>
      </c>
      <c r="AH186" s="378" t="str">
        <f>IF($C$178="Byron 19",'BYRON 19'!$D$95," ")</f>
        <v xml:space="preserve"> </v>
      </c>
      <c r="AI186" s="501" t="str">
        <f>IF($C$178="Byron 19",'BYRON 19'!$C$115," ")</f>
        <v xml:space="preserve"> </v>
      </c>
      <c r="AJ186" s="378" t="str">
        <f>IF($C$178="Byron 19",'BYRON 19'!$D$115," ")</f>
        <v xml:space="preserve"> </v>
      </c>
      <c r="AK186" s="380"/>
      <c r="AL186" s="381"/>
      <c r="AM186" s="380"/>
      <c r="AN186" s="381"/>
      <c r="AO186" s="380"/>
      <c r="AP186" s="381"/>
      <c r="AQ186" s="380"/>
      <c r="AR186" s="381"/>
    </row>
    <row r="187" spans="2:44" ht="18" customHeight="1">
      <c r="B187" s="608" t="s">
        <v>1209</v>
      </c>
      <c r="C187" s="622"/>
      <c r="D187" s="505">
        <v>0</v>
      </c>
      <c r="E187" s="445"/>
      <c r="F187" s="503">
        <f t="shared" ref="F187" si="2">SUM(E187-D187)</f>
        <v>0</v>
      </c>
      <c r="Q187" s="382"/>
      <c r="R187" s="504"/>
      <c r="S187" s="382"/>
      <c r="T187" s="382"/>
      <c r="U187" s="382"/>
      <c r="V187" s="382"/>
      <c r="W187" s="382"/>
      <c r="X187" s="382"/>
      <c r="Y187" s="382"/>
      <c r="Z187" s="382"/>
      <c r="AA187" s="382"/>
      <c r="AB187" s="382"/>
      <c r="AC187" s="382"/>
      <c r="AD187" s="382"/>
      <c r="AE187" s="382"/>
      <c r="AF187" s="382"/>
      <c r="AG187" s="501" t="str">
        <f>IF($C$178="Byron 19",'BYRON 19'!$C$95," ")</f>
        <v xml:space="preserve"> </v>
      </c>
      <c r="AH187" s="378" t="str">
        <f>IF($C$178="Byron 19",'BYRON 19'!$D$95," ")</f>
        <v xml:space="preserve"> </v>
      </c>
      <c r="AI187" s="501" t="str">
        <f>IF($C$178="Byron 19",'BYRON 19'!$C$115," ")</f>
        <v xml:space="preserve"> </v>
      </c>
      <c r="AJ187" s="378" t="str">
        <f>IF($C$178="Byron 19",'BYRON 19'!$D$115," ")</f>
        <v xml:space="preserve"> </v>
      </c>
      <c r="AK187" s="380"/>
      <c r="AL187" s="381"/>
      <c r="AM187" s="380"/>
      <c r="AN187" s="381"/>
      <c r="AO187" s="380"/>
      <c r="AP187" s="381"/>
      <c r="AQ187" s="380"/>
      <c r="AR187" s="381"/>
    </row>
    <row r="188" spans="2:44" ht="18" customHeight="1">
      <c r="B188" s="610" t="s">
        <v>280</v>
      </c>
      <c r="C188" s="611"/>
      <c r="D188" s="611"/>
      <c r="E188" s="611"/>
      <c r="F188" s="612"/>
      <c r="Q188" s="382"/>
      <c r="R188" s="483"/>
      <c r="S188" s="382"/>
      <c r="T188" s="382"/>
      <c r="U188" s="382"/>
      <c r="V188" s="382"/>
      <c r="W188" s="382"/>
      <c r="X188" s="382"/>
      <c r="Y188" s="382"/>
      <c r="Z188" s="382"/>
      <c r="AA188" s="382"/>
      <c r="AB188" s="382"/>
      <c r="AC188" s="382"/>
      <c r="AD188" s="382"/>
      <c r="AE188" s="382"/>
      <c r="AF188" s="382"/>
      <c r="AG188" s="501" t="str">
        <f>IF($C$178="Byron 19",'BYRON 19'!$C$96," ")</f>
        <v xml:space="preserve"> </v>
      </c>
      <c r="AH188" s="378" t="str">
        <f>IF($C$178="Byron 19",'BYRON 19'!$D$96," ")</f>
        <v xml:space="preserve"> </v>
      </c>
      <c r="AI188" s="501" t="str">
        <f>IF($C$178="Byron 19",'BYRON 19'!$C$116," ")</f>
        <v xml:space="preserve"> </v>
      </c>
      <c r="AJ188" s="378" t="str">
        <f>IF($C$178="Byron 19",'BYRON 19'!$D$116," ")</f>
        <v xml:space="preserve"> </v>
      </c>
      <c r="AK188" s="380"/>
      <c r="AL188" s="381"/>
      <c r="AM188" s="380"/>
      <c r="AN188" s="381"/>
      <c r="AO188" s="380"/>
      <c r="AP188" s="381"/>
      <c r="AQ188" s="380"/>
      <c r="AR188" s="381"/>
    </row>
    <row r="189" spans="2:44" ht="41.4" customHeight="1">
      <c r="B189" s="608" t="s">
        <v>1132</v>
      </c>
      <c r="C189" s="609"/>
      <c r="D189" s="488">
        <v>0</v>
      </c>
      <c r="E189" s="445"/>
      <c r="F189" s="363">
        <f>SUM(E189-D189)</f>
        <v>0</v>
      </c>
      <c r="Q189" s="382"/>
      <c r="R189" s="483"/>
      <c r="S189" s="382"/>
      <c r="T189" s="382"/>
      <c r="U189" s="382"/>
      <c r="V189" s="382"/>
      <c r="W189" s="382"/>
      <c r="X189" s="382"/>
      <c r="Y189" s="382"/>
      <c r="Z189" s="382"/>
      <c r="AA189" s="382"/>
      <c r="AB189" s="382"/>
      <c r="AC189" s="382"/>
      <c r="AD189" s="382"/>
      <c r="AE189" s="382"/>
      <c r="AF189" s="382"/>
      <c r="AG189" s="501" t="str">
        <f>IF($C$178="Byron 19",'BYRON 19'!$C$97," ")</f>
        <v xml:space="preserve"> </v>
      </c>
      <c r="AH189" s="378" t="str">
        <f>IF($C$178="Byron 19",'BYRON 19'!$D$97," ")</f>
        <v xml:space="preserve"> </v>
      </c>
      <c r="AI189" s="501" t="str">
        <f>IF($C$178="Byron 19",'BYRON 19'!$C$117," ")</f>
        <v xml:space="preserve"> </v>
      </c>
      <c r="AJ189" s="378" t="str">
        <f>IF($C$178="Byron 19",'BYRON 19'!$D$117," ")</f>
        <v xml:space="preserve"> </v>
      </c>
      <c r="AK189" s="380"/>
      <c r="AL189" s="381"/>
      <c r="AM189" s="380"/>
      <c r="AN189" s="381"/>
      <c r="AO189" s="380"/>
      <c r="AP189" s="381"/>
      <c r="AQ189" s="380"/>
      <c r="AR189" s="381"/>
    </row>
    <row r="190" spans="2:44" ht="26.4" customHeight="1">
      <c r="B190" s="608" t="s">
        <v>1207</v>
      </c>
      <c r="C190" s="609"/>
      <c r="D190" s="488">
        <v>2000</v>
      </c>
      <c r="E190" s="445"/>
      <c r="F190" s="363">
        <f t="shared" ref="F190" si="3">SUM(E190-D190)</f>
        <v>-2000</v>
      </c>
      <c r="Q190" s="382"/>
      <c r="R190" s="483"/>
      <c r="S190" s="382"/>
      <c r="T190" s="382"/>
      <c r="U190" s="382"/>
      <c r="V190" s="382"/>
      <c r="W190" s="382"/>
      <c r="X190" s="382"/>
      <c r="Y190" s="382"/>
      <c r="Z190" s="382"/>
      <c r="AA190" s="382"/>
      <c r="AB190" s="382"/>
      <c r="AC190" s="382"/>
      <c r="AD190" s="382"/>
      <c r="AE190" s="382"/>
      <c r="AF190" s="382"/>
      <c r="AG190" s="501" t="str">
        <f>IF($C$178="Byron 19",'BYRON 19'!$C$94," ")</f>
        <v xml:space="preserve"> </v>
      </c>
      <c r="AH190" s="378" t="str">
        <f>IF($C$178="Byron 19",'BYRON 19'!$D$94," ")</f>
        <v xml:space="preserve"> </v>
      </c>
      <c r="AI190" s="501" t="str">
        <f>IF($C$178="Byron 19",'BYRON 19'!$C$114," ")</f>
        <v xml:space="preserve"> </v>
      </c>
      <c r="AJ190" s="378" t="str">
        <f>IF($C$178="Byron 19",'BYRON 19'!$D$114," ")</f>
        <v xml:space="preserve"> </v>
      </c>
      <c r="AK190" s="380"/>
      <c r="AL190" s="381"/>
      <c r="AM190" s="380"/>
      <c r="AN190" s="381"/>
      <c r="AO190" s="380"/>
      <c r="AP190" s="381"/>
      <c r="AQ190" s="380"/>
      <c r="AR190" s="381"/>
    </row>
    <row r="191" spans="2:44" ht="18" customHeight="1">
      <c r="B191" s="610" t="s">
        <v>413</v>
      </c>
      <c r="C191" s="611"/>
      <c r="D191" s="611"/>
      <c r="E191" s="611"/>
      <c r="F191" s="612"/>
      <c r="Q191" s="382"/>
      <c r="R191" s="483"/>
      <c r="S191" s="382"/>
      <c r="T191" s="382"/>
      <c r="U191" s="382"/>
      <c r="V191" s="382"/>
      <c r="W191" s="382"/>
      <c r="X191" s="382"/>
      <c r="Y191" s="382"/>
      <c r="Z191" s="382"/>
      <c r="AA191" s="382"/>
      <c r="AB191" s="382"/>
      <c r="AC191" s="382"/>
      <c r="AD191" s="382"/>
      <c r="AE191" s="382"/>
      <c r="AF191" s="382"/>
      <c r="AG191" s="501" t="str">
        <f>IF($C$178="Byron 19",'BYRON 19'!$C$98," ")</f>
        <v xml:space="preserve"> </v>
      </c>
      <c r="AH191" s="378" t="str">
        <f>IF($C$178="Byron 19",'BYRON 19'!$D$98," ")</f>
        <v xml:space="preserve"> </v>
      </c>
      <c r="AI191" s="501" t="str">
        <f>IF($C$178="Byron 19",'BYRON 19'!$C$118," ")</f>
        <v xml:space="preserve"> </v>
      </c>
      <c r="AJ191" s="378" t="str">
        <f>IF($C$178="Byron 19",'BYRON 19'!$D$118," ")</f>
        <v xml:space="preserve"> </v>
      </c>
      <c r="AK191" s="380"/>
      <c r="AL191" s="381"/>
      <c r="AM191" s="380"/>
      <c r="AN191" s="381"/>
      <c r="AO191" s="380"/>
      <c r="AP191" s="381"/>
      <c r="AQ191" s="380"/>
      <c r="AR191" s="381"/>
    </row>
    <row r="192" spans="2:44" ht="27" customHeight="1">
      <c r="B192" s="608" t="s">
        <v>1217</v>
      </c>
      <c r="C192" s="609"/>
      <c r="D192" s="365">
        <f>+'Site Costs'!D24</f>
        <v>2200</v>
      </c>
      <c r="E192" s="445"/>
      <c r="F192" s="363">
        <f>SUM(E192-D192)</f>
        <v>-2200</v>
      </c>
      <c r="Q192" s="382"/>
      <c r="R192" s="483"/>
      <c r="S192" s="382"/>
      <c r="T192" s="382"/>
      <c r="U192" s="382"/>
      <c r="V192" s="382"/>
      <c r="W192" s="382"/>
      <c r="X192" s="382"/>
      <c r="Y192" s="382"/>
      <c r="Z192" s="382"/>
      <c r="AA192" s="382"/>
      <c r="AB192" s="382"/>
      <c r="AC192" s="382"/>
      <c r="AD192" s="382"/>
      <c r="AE192" s="382"/>
      <c r="AF192" s="382"/>
      <c r="AH192" s="382"/>
      <c r="AI192" s="501" t="str">
        <f>IF($C$178="Byron 19",'BYRON 19'!$C$119," ")</f>
        <v xml:space="preserve"> </v>
      </c>
      <c r="AJ192" s="378" t="str">
        <f>IF($C$178="Byron 19",'BYRON 19'!$D$119," ")</f>
        <v xml:space="preserve"> </v>
      </c>
      <c r="AK192" s="380"/>
      <c r="AL192" s="381"/>
      <c r="AM192" s="380"/>
      <c r="AN192" s="381"/>
      <c r="AO192" s="380"/>
      <c r="AP192" s="381"/>
      <c r="AQ192" s="380"/>
      <c r="AR192" s="381"/>
    </row>
    <row r="193" spans="2:44" ht="18" customHeight="1">
      <c r="B193" s="610" t="s">
        <v>669</v>
      </c>
      <c r="C193" s="611"/>
      <c r="D193" s="611"/>
      <c r="E193" s="611"/>
      <c r="F193" s="612"/>
      <c r="Q193" s="382"/>
      <c r="R193" s="483"/>
      <c r="S193" s="382"/>
      <c r="T193" s="382"/>
      <c r="U193" s="382"/>
      <c r="V193" s="382"/>
      <c r="W193" s="382"/>
      <c r="X193" s="382"/>
      <c r="Y193" s="382"/>
      <c r="Z193" s="382"/>
      <c r="AA193" s="382"/>
      <c r="AB193" s="382"/>
      <c r="AC193" s="382"/>
      <c r="AD193" s="382"/>
      <c r="AE193" s="382"/>
      <c r="AF193" s="382"/>
      <c r="AG193" s="398"/>
      <c r="AH193" s="382"/>
      <c r="AI193" s="501" t="str">
        <f>IF($C$178="Byron 19",'BYRON 19'!$C$120," ")</f>
        <v xml:space="preserve"> </v>
      </c>
      <c r="AJ193" s="378" t="str">
        <f>IF($C$178="Byron 19",'BYRON 19'!$D$120," ")</f>
        <v xml:space="preserve"> </v>
      </c>
      <c r="AK193" s="380"/>
      <c r="AL193" s="381"/>
      <c r="AM193" s="380"/>
      <c r="AN193" s="381"/>
      <c r="AO193" s="380"/>
      <c r="AP193" s="381"/>
      <c r="AQ193" s="380"/>
      <c r="AR193" s="381"/>
    </row>
    <row r="194" spans="2:44" ht="18" customHeight="1">
      <c r="B194" s="608" t="s">
        <v>1047</v>
      </c>
      <c r="C194" s="609"/>
      <c r="D194" s="365" t="s">
        <v>267</v>
      </c>
      <c r="E194" s="445"/>
      <c r="F194" s="363">
        <v>0</v>
      </c>
      <c r="Q194" s="382"/>
      <c r="R194" s="483"/>
      <c r="S194" s="382"/>
      <c r="T194" s="382"/>
      <c r="U194" s="382"/>
      <c r="V194" s="382"/>
      <c r="W194" s="382"/>
      <c r="X194" s="382"/>
      <c r="Y194" s="382"/>
      <c r="Z194" s="382"/>
      <c r="AA194" s="382"/>
      <c r="AB194" s="382"/>
      <c r="AC194" s="382"/>
      <c r="AD194" s="382"/>
      <c r="AE194" s="382"/>
      <c r="AF194" s="382"/>
      <c r="AG194" s="398"/>
      <c r="AH194" s="382"/>
      <c r="AI194" s="501" t="str">
        <f>IF($C$178="Byron 19",'BYRON 19'!$C$121," ")</f>
        <v xml:space="preserve"> </v>
      </c>
      <c r="AJ194" s="378" t="str">
        <f>IF($C$178="Byron 19",'BYRON 19'!$D$121," ")</f>
        <v xml:space="preserve"> </v>
      </c>
      <c r="AK194" s="380"/>
      <c r="AL194" s="381"/>
      <c r="AM194" s="380"/>
      <c r="AN194" s="381"/>
      <c r="AO194" s="380"/>
      <c r="AP194" s="381"/>
      <c r="AQ194" s="380"/>
      <c r="AR194" s="381"/>
    </row>
    <row r="195" spans="2:44" ht="27" customHeight="1">
      <c r="B195" s="608" t="s">
        <v>1048</v>
      </c>
      <c r="C195" s="609"/>
      <c r="D195" s="365">
        <f>+J169</f>
        <v>0</v>
      </c>
      <c r="E195" s="445"/>
      <c r="F195" s="363">
        <f>SUM(E195-D195)</f>
        <v>0</v>
      </c>
      <c r="Q195" s="382"/>
      <c r="R195" s="483"/>
      <c r="S195" s="382"/>
      <c r="T195" s="382"/>
      <c r="U195" s="382"/>
      <c r="V195" s="382"/>
      <c r="W195" s="382"/>
      <c r="X195" s="382"/>
      <c r="Y195" s="382"/>
      <c r="Z195" s="382"/>
      <c r="AA195" s="382"/>
      <c r="AB195" s="382"/>
      <c r="AC195" s="382"/>
      <c r="AD195" s="382"/>
      <c r="AE195" s="382"/>
      <c r="AF195" s="382"/>
      <c r="AG195" s="398"/>
      <c r="AH195" s="382"/>
      <c r="AI195" s="501" t="str">
        <f>IF($C$178="Byron 19",'BYRON 19'!$C$123," ")</f>
        <v xml:space="preserve"> </v>
      </c>
      <c r="AJ195" s="378" t="str">
        <f>IF($C$178="Byron 19",'BYRON 19'!$D$123," ")</f>
        <v xml:space="preserve"> </v>
      </c>
      <c r="AK195" s="380"/>
      <c r="AL195" s="381"/>
      <c r="AM195" s="380"/>
      <c r="AN195" s="381"/>
      <c r="AO195" s="380"/>
      <c r="AP195" s="381"/>
      <c r="AQ195" s="380"/>
      <c r="AR195" s="381"/>
    </row>
    <row r="196" spans="2:44" ht="18" customHeight="1">
      <c r="B196" s="602" t="s">
        <v>1111</v>
      </c>
      <c r="C196" s="603"/>
      <c r="D196" s="603"/>
      <c r="E196" s="603"/>
      <c r="F196" s="604"/>
      <c r="Q196" s="382"/>
      <c r="R196" s="483"/>
      <c r="S196" s="382"/>
      <c r="T196" s="382"/>
      <c r="U196" s="382"/>
      <c r="V196" s="382"/>
      <c r="W196" s="382"/>
      <c r="X196" s="382"/>
      <c r="Y196" s="382"/>
      <c r="Z196" s="382"/>
      <c r="AA196" s="382"/>
      <c r="AB196" s="382"/>
      <c r="AC196" s="382"/>
      <c r="AD196" s="382"/>
      <c r="AE196" s="382"/>
      <c r="AF196" s="382"/>
      <c r="AG196" s="398"/>
      <c r="AH196" s="382"/>
      <c r="AI196" s="501" t="str">
        <f>IF($C$178="Byron 19",'BYRON 19'!$C$124," ")</f>
        <v xml:space="preserve"> </v>
      </c>
      <c r="AJ196" s="378" t="str">
        <f>IF($C$178="Byron 19",'BYRON 19'!$D$124," ")</f>
        <v xml:space="preserve"> </v>
      </c>
      <c r="AK196" s="382"/>
      <c r="AL196" s="382"/>
      <c r="AM196" s="382"/>
      <c r="AN196" s="382"/>
      <c r="AO196" s="382"/>
      <c r="AP196" s="382"/>
      <c r="AQ196" s="382"/>
      <c r="AR196" s="382"/>
    </row>
    <row r="197" spans="2:44" ht="18" customHeight="1">
      <c r="B197" s="605" t="s">
        <v>1133</v>
      </c>
      <c r="C197" s="606"/>
      <c r="D197" s="606"/>
      <c r="E197" s="606"/>
      <c r="F197" s="607"/>
      <c r="Q197" s="382"/>
      <c r="R197" s="483"/>
      <c r="S197" s="382"/>
      <c r="T197" s="382"/>
      <c r="U197" s="382"/>
      <c r="V197" s="382"/>
      <c r="W197" s="382"/>
      <c r="X197" s="382"/>
      <c r="Y197" s="382"/>
      <c r="Z197" s="382"/>
      <c r="AA197" s="382"/>
      <c r="AB197" s="382"/>
      <c r="AC197" s="382"/>
      <c r="AD197" s="382"/>
      <c r="AE197" s="382"/>
      <c r="AF197" s="382"/>
      <c r="AG197" s="398"/>
      <c r="AH197" s="382"/>
      <c r="AI197" s="501" t="str">
        <f>IF($C$178="Byron 19",'BYRON 19'!$C$125," ")</f>
        <v xml:space="preserve"> </v>
      </c>
      <c r="AJ197" s="378" t="str">
        <f>IF($C$178="Byron 19",'BYRON 19'!$D$125," ")</f>
        <v xml:space="preserve"> </v>
      </c>
      <c r="AK197" s="382"/>
      <c r="AL197" s="382"/>
      <c r="AM197" s="382"/>
      <c r="AN197" s="382"/>
      <c r="AO197" s="382"/>
      <c r="AP197" s="382"/>
      <c r="AQ197" s="382"/>
      <c r="AR197" s="382"/>
    </row>
    <row r="198" spans="2:44" ht="18" customHeight="1">
      <c r="B198" s="586"/>
      <c r="C198" s="587"/>
      <c r="D198" s="365">
        <f t="shared" ref="D198:D213" si="4">_xlfn.XLOOKUP($B198,$Q$173:$Q$393,$R$173:$R$393)</f>
        <v>0</v>
      </c>
      <c r="E198" s="445"/>
      <c r="F198" s="363">
        <f>IF(D198=" "," ",SUM(E198-D198))</f>
        <v>0</v>
      </c>
      <c r="Q198" s="383"/>
      <c r="R198" s="484"/>
      <c r="S198" s="383"/>
      <c r="T198" s="383"/>
      <c r="U198" s="383"/>
      <c r="V198" s="383"/>
      <c r="W198" s="383"/>
      <c r="X198" s="383"/>
      <c r="Y198" s="383"/>
      <c r="Z198" s="383"/>
      <c r="AA198" s="383"/>
      <c r="AB198" s="383"/>
      <c r="AC198" s="383"/>
      <c r="AD198" s="383"/>
      <c r="AE198" s="383"/>
      <c r="AF198" s="383"/>
      <c r="AG198" s="502"/>
      <c r="AH198" s="383"/>
      <c r="AJ198" s="383"/>
      <c r="AK198" s="383"/>
      <c r="AL198" s="383"/>
      <c r="AM198" s="383"/>
      <c r="AN198" s="383"/>
      <c r="AO198" s="383"/>
      <c r="AP198" s="383"/>
      <c r="AQ198" s="383"/>
      <c r="AR198" s="383"/>
    </row>
    <row r="199" spans="2:44" ht="18" customHeight="1">
      <c r="B199" s="586"/>
      <c r="C199" s="587"/>
      <c r="D199" s="365">
        <f t="shared" si="4"/>
        <v>0</v>
      </c>
      <c r="E199" s="445"/>
      <c r="F199" s="363">
        <f t="shared" ref="F199:F208" si="5">IF(D199=" "," ",SUM(E199-D199))</f>
        <v>0</v>
      </c>
      <c r="Q199" s="374" t="str">
        <f>IF($C$178="Byron 22A",'BYRON 22A'!$C$4," ")</f>
        <v xml:space="preserve"> </v>
      </c>
      <c r="R199" s="375" t="str">
        <f>IF($C$178="Byron 22A",'BYRON 22A'!$D$4," ")</f>
        <v xml:space="preserve"> </v>
      </c>
      <c r="S199" s="374" t="str">
        <f>IF($C$178="Byron 22A",'BYRON 22A'!$C$18," ")</f>
        <v xml:space="preserve"> </v>
      </c>
      <c r="T199" s="375" t="str">
        <f>IF($C$178="Byron 22A",'BYRON 22A'!$D$18," ")</f>
        <v xml:space="preserve"> </v>
      </c>
      <c r="U199" s="374" t="str">
        <f>IF($C$178="Byron 22A",'BYRON 22A'!$C$30," ")</f>
        <v xml:space="preserve"> </v>
      </c>
      <c r="V199" s="375" t="str">
        <f>IF($C$178="Byron 22A",'BYRON 22A'!$D$30," ")</f>
        <v xml:space="preserve"> </v>
      </c>
      <c r="W199" s="374" t="str">
        <f>IF($C$178="Byron 22A",'BYRON 22A'!$C$43," ")</f>
        <v xml:space="preserve"> </v>
      </c>
      <c r="X199" s="375" t="str">
        <f>IF($C$178="Byron 22A",'BYRON 22A'!$D$43," ")</f>
        <v xml:space="preserve"> </v>
      </c>
      <c r="Y199" s="374" t="str">
        <f>IF($C$178="Byron 22A",'BYRON 22A'!$C$53," ")</f>
        <v xml:space="preserve"> </v>
      </c>
      <c r="Z199" s="375" t="str">
        <f>IF($C$178="Byron 22A",'BYRON 22A'!$D$53," ")</f>
        <v xml:space="preserve"> </v>
      </c>
      <c r="AA199" s="374" t="str">
        <f>IF($C$178="Byron 22A",'BYRON 22A'!$C$61," ")</f>
        <v xml:space="preserve"> </v>
      </c>
      <c r="AB199" s="375" t="str">
        <f>IF($C$178="Byron 22A",'BYRON 22A'!$D$61," ")</f>
        <v xml:space="preserve"> </v>
      </c>
      <c r="AC199" s="374" t="str">
        <f>IF($C$178="Byron 22A",'BYRON 22A'!$C$67," ")</f>
        <v xml:space="preserve"> </v>
      </c>
      <c r="AD199" s="375" t="str">
        <f>IF($C$178="Byron 22A",'BYRON 22A'!$D$67," ")</f>
        <v xml:space="preserve"> </v>
      </c>
      <c r="AE199" s="374" t="str">
        <f>IF($C$178="Byron 22A",'BYRON 22A'!$C$76," ")</f>
        <v xml:space="preserve"> </v>
      </c>
      <c r="AF199" s="375" t="str">
        <f>IF($C$178="Byron 22A",'BYRON 22A'!$D$76," ")</f>
        <v xml:space="preserve"> </v>
      </c>
      <c r="AG199" s="500" t="str">
        <f>IF($C$178="Byron 22A",'BYRON 22A'!$C$81," ")</f>
        <v xml:space="preserve"> </v>
      </c>
      <c r="AH199" s="375" t="str">
        <f>IF($C$178="Byron 22A",'BYRON 22A'!$D$81," ")</f>
        <v xml:space="preserve"> </v>
      </c>
      <c r="AI199" s="500" t="str">
        <f>IF($C$178="Byron 22A",'BYRON 22A'!$C$101," ")</f>
        <v xml:space="preserve"> </v>
      </c>
      <c r="AJ199" s="375" t="str">
        <f>IF($C$178="Byron 22A",'BYRON 22A'!$D$101," ")</f>
        <v xml:space="preserve"> </v>
      </c>
      <c r="AK199" s="374" t="str">
        <f>IF($C$178="Byron 22A",'BYRON 22A'!$C$128," ")</f>
        <v xml:space="preserve"> </v>
      </c>
      <c r="AL199" s="375" t="str">
        <f>IF($C$178="Byron 22A",'BYRON 22A'!$D$128," ")</f>
        <v xml:space="preserve"> </v>
      </c>
      <c r="AM199" s="374" t="str">
        <f>IF($C$178="Byron 22A",'BYRON 22A'!$C$137," ")</f>
        <v xml:space="preserve"> </v>
      </c>
      <c r="AN199" s="375" t="str">
        <f>IF($C$178="Byron 22A",'BYRON 22A'!$D$137," ")</f>
        <v xml:space="preserve"> </v>
      </c>
      <c r="AO199" s="374" t="str">
        <f>IF($C$178="Byron 22A",'BYRON 22A'!$C$151," ")</f>
        <v xml:space="preserve"> </v>
      </c>
      <c r="AP199" s="375" t="str">
        <f>IF($C$178="Byron 22A",'BYRON 22A'!$D$151," ")</f>
        <v xml:space="preserve"> </v>
      </c>
      <c r="AQ199" s="374" t="str">
        <f>IF($C$178="Byron 22A",'BYRON 22A'!$C$158," ")</f>
        <v xml:space="preserve"> </v>
      </c>
      <c r="AR199" s="375" t="str">
        <f>IF($C$178="Byron 22A",'BYRON 22A'!$D$158," ")</f>
        <v xml:space="preserve"> </v>
      </c>
    </row>
    <row r="200" spans="2:44" ht="18" customHeight="1">
      <c r="B200" s="586"/>
      <c r="C200" s="587"/>
      <c r="D200" s="365">
        <f t="shared" si="4"/>
        <v>0</v>
      </c>
      <c r="E200" s="445"/>
      <c r="F200" s="363">
        <f t="shared" si="5"/>
        <v>0</v>
      </c>
      <c r="Q200" s="377" t="str">
        <f>IF($C$178="Byron 22A",'BYRON 22A'!$C$5," ")</f>
        <v xml:space="preserve"> </v>
      </c>
      <c r="R200" s="378" t="str">
        <f>IF($C$178="Byron 22A",'BYRON 22A'!$D$5," ")</f>
        <v xml:space="preserve"> </v>
      </c>
      <c r="S200" s="377" t="str">
        <f>IF($C$178="Byron 22A",'BYRON 22A'!$C$19," ")</f>
        <v xml:space="preserve"> </v>
      </c>
      <c r="T200" s="378" t="str">
        <f>IF($C$178="Byron 22A",'BYRON 22A'!$D$19," ")</f>
        <v xml:space="preserve"> </v>
      </c>
      <c r="U200" s="377" t="str">
        <f>IF($C$178="Byron 22A",'BYRON 22A'!$C$31," ")</f>
        <v xml:space="preserve"> </v>
      </c>
      <c r="V200" s="378" t="str">
        <f>IF($C$178="Byron 22A",'BYRON 22A'!$D$31," ")</f>
        <v xml:space="preserve"> </v>
      </c>
      <c r="W200" s="377" t="str">
        <f>IF($C$178="Byron 22A",'BYRON 22A'!$C$44," ")</f>
        <v xml:space="preserve"> </v>
      </c>
      <c r="X200" s="378" t="str">
        <f>IF($C$178="Byron 22A",'BYRON 22A'!$D$44," ")</f>
        <v xml:space="preserve"> </v>
      </c>
      <c r="Y200" s="377" t="str">
        <f>IF($C$178="Byron 22A",'BYRON 22A'!$C$54," ")</f>
        <v xml:space="preserve"> </v>
      </c>
      <c r="Z200" s="378" t="str">
        <f>IF($C$178="Byron 22A",'BYRON 22A'!$D$54," ")</f>
        <v xml:space="preserve"> </v>
      </c>
      <c r="AA200" s="377" t="str">
        <f>IF($C$178="Byron 22A",'BYRON 22A'!$C$62," ")</f>
        <v xml:space="preserve"> </v>
      </c>
      <c r="AB200" s="378" t="str">
        <f>IF($C$178="Byron 22A",'BYRON 22A'!$D$62," ")</f>
        <v xml:space="preserve"> </v>
      </c>
      <c r="AC200" s="377" t="str">
        <f>IF($C$178="Byron 22A",'BYRON 22A'!$C$68," ")</f>
        <v xml:space="preserve"> </v>
      </c>
      <c r="AD200" s="378" t="str">
        <f>IF($C$178="Byron 22A",'BYRON 22A'!$D$68," ")</f>
        <v xml:space="preserve"> </v>
      </c>
      <c r="AE200" s="377" t="str">
        <f>IF($C$178="Byron 22A",'BYRON 22A'!$C$77," ")</f>
        <v xml:space="preserve"> </v>
      </c>
      <c r="AF200" s="378" t="str">
        <f>IF($C$178="Byron 22A",'BYRON 22A'!$D$77," ")</f>
        <v xml:space="preserve"> </v>
      </c>
      <c r="AG200" s="501" t="str">
        <f>IF($C$178="Byron 22A",'BYRON 22A'!$C$82," ")</f>
        <v xml:space="preserve"> </v>
      </c>
      <c r="AH200" s="378" t="str">
        <f>IF($C$178="Byron 22A",'BYRON 22A'!$D$82," ")</f>
        <v xml:space="preserve"> </v>
      </c>
      <c r="AI200" s="501" t="str">
        <f>IF($C$178="Byron 22A",'BYRON 22A'!$C$102," ")</f>
        <v xml:space="preserve"> </v>
      </c>
      <c r="AJ200" s="378" t="str">
        <f>IF($C$178="Byron 22A",'BYRON 22A'!$D$102," ")</f>
        <v xml:space="preserve"> </v>
      </c>
      <c r="AK200" s="377" t="str">
        <f>IF($C$178="Byron 22A",'BYRON 22A'!$C$129," ")</f>
        <v xml:space="preserve"> </v>
      </c>
      <c r="AL200" s="378" t="str">
        <f>IF($C$178="Byron 22A",'BYRON 22A'!$D$129," ")</f>
        <v xml:space="preserve"> </v>
      </c>
      <c r="AM200" s="377" t="str">
        <f>IF($C$178="Byron 22A",'BYRON 22A'!$C$138," ")</f>
        <v xml:space="preserve"> </v>
      </c>
      <c r="AN200" s="378" t="str">
        <f>IF($C$178="Byron 22A",'BYRON 22A'!$D$138," ")</f>
        <v xml:space="preserve"> </v>
      </c>
      <c r="AO200" s="377" t="str">
        <f>IF($C$178="Byron 22A",'BYRON 22A'!$C$152," ")</f>
        <v xml:space="preserve"> </v>
      </c>
      <c r="AP200" s="378" t="str">
        <f>IF($C$178="Byron 22A",'BYRON 22A'!$D$152," ")</f>
        <v xml:space="preserve"> </v>
      </c>
      <c r="AQ200" s="377" t="str">
        <f>IF($C$178="Byron 22A",'BYRON 22A'!$C$159," ")</f>
        <v xml:space="preserve"> </v>
      </c>
      <c r="AR200" s="378" t="str">
        <f>IF($C$178="Byron 22A",'BYRON 22A'!$D$159," ")</f>
        <v xml:space="preserve"> </v>
      </c>
    </row>
    <row r="201" spans="2:44" ht="18" customHeight="1">
      <c r="B201" s="586"/>
      <c r="C201" s="587"/>
      <c r="D201" s="365">
        <f t="shared" si="4"/>
        <v>0</v>
      </c>
      <c r="E201" s="445"/>
      <c r="F201" s="363">
        <f t="shared" si="5"/>
        <v>0</v>
      </c>
      <c r="Q201" s="377" t="str">
        <f>IF($C$178="Byron 22A",'BYRON 22A'!$C$6," ")</f>
        <v xml:space="preserve"> </v>
      </c>
      <c r="R201" s="378" t="str">
        <f>IF($C$178="Byron 22A",'BYRON 22A'!$D$6," ")</f>
        <v xml:space="preserve"> </v>
      </c>
      <c r="S201" s="377" t="str">
        <f>IF($C$178="Byron 22A",'BYRON 22A'!$C$20," ")</f>
        <v xml:space="preserve"> </v>
      </c>
      <c r="T201" s="378" t="str">
        <f>IF($C$178="Byron 22A",'BYRON 22A'!$D$20," ")</f>
        <v xml:space="preserve"> </v>
      </c>
      <c r="U201" s="377" t="str">
        <f>IF($C$178="Byron 22A",'BYRON 22A'!$C$32," ")</f>
        <v xml:space="preserve"> </v>
      </c>
      <c r="V201" s="378" t="str">
        <f>IF($C$178="Byron 22A",'BYRON 22A'!$D$32," ")</f>
        <v xml:space="preserve"> </v>
      </c>
      <c r="W201" s="377" t="str">
        <f>IF($C$178="Byron 22A",'BYRON 22A'!$C$45," ")</f>
        <v xml:space="preserve"> </v>
      </c>
      <c r="X201" s="378" t="str">
        <f>IF($C$178="Byron 22A",'BYRON 22A'!$D$45," ")</f>
        <v xml:space="preserve"> </v>
      </c>
      <c r="Y201" s="377" t="str">
        <f>IF($C$178="Byron 22A",'BYRON 22A'!$C$55," ")</f>
        <v xml:space="preserve"> </v>
      </c>
      <c r="Z201" s="378" t="str">
        <f>IF($C$178="Byron 22A",'BYRON 22A'!$D$55," ")</f>
        <v xml:space="preserve"> </v>
      </c>
      <c r="AA201" s="377" t="str">
        <f>IF($C$178="Byron 22A",'BYRON 22A'!$C$63," ")</f>
        <v xml:space="preserve"> </v>
      </c>
      <c r="AB201" s="378" t="str">
        <f>IF($C$178="Byron 22A",'BYRON 22A'!$D$63," ")</f>
        <v xml:space="preserve"> </v>
      </c>
      <c r="AC201" s="377" t="str">
        <f>IF($C$178="Byron 22A",'BYRON 22A'!$C$69," ")</f>
        <v xml:space="preserve"> </v>
      </c>
      <c r="AD201" s="378" t="str">
        <f>IF($C$178="Byron 22A",'BYRON 22A'!$D$69," ")</f>
        <v xml:space="preserve"> </v>
      </c>
      <c r="AE201" s="377" t="str">
        <f>IF($C$178="Byron 22A",'BYRON 22A'!$C$78," ")</f>
        <v xml:space="preserve"> </v>
      </c>
      <c r="AF201" s="378" t="str">
        <f>IF($C$178="Byron 22A",'BYRON 22A'!$D$78," ")</f>
        <v xml:space="preserve"> </v>
      </c>
      <c r="AG201" s="501" t="str">
        <f>IF($C$178="Byron 22A",'BYRON 22A'!$C$83," ")</f>
        <v xml:space="preserve"> </v>
      </c>
      <c r="AH201" s="378" t="str">
        <f>IF($C$178="Byron 22A",'BYRON 22A'!$D$83," ")</f>
        <v xml:space="preserve"> </v>
      </c>
      <c r="AI201" s="501" t="str">
        <f>IF($C$178="Byron 22A",'BYRON 22A'!$C$103," ")</f>
        <v xml:space="preserve"> </v>
      </c>
      <c r="AJ201" s="378" t="str">
        <f>IF($C$178="Byron 22A",'BYRON 22A'!$D$103," ")</f>
        <v xml:space="preserve"> </v>
      </c>
      <c r="AK201" s="377" t="str">
        <f>IF($C$178="Byron 22A",'BYRON 22A'!$C$130," ")</f>
        <v xml:space="preserve"> </v>
      </c>
      <c r="AL201" s="378" t="str">
        <f>IF($C$178="Byron 22A",'BYRON 22A'!$D$130," ")</f>
        <v xml:space="preserve"> </v>
      </c>
      <c r="AM201" s="377" t="str">
        <f>IF($C$178="Byron 22A",'BYRON 22A'!$C$139," ")</f>
        <v xml:space="preserve"> </v>
      </c>
      <c r="AN201" s="378" t="str">
        <f>IF($C$178="Byron 22A",'BYRON 22A'!$D$139," ")</f>
        <v xml:space="preserve"> </v>
      </c>
      <c r="AO201" s="377" t="str">
        <f>IF($C$178="Byron 22A",'BYRON 22A'!$C$153," ")</f>
        <v xml:space="preserve"> </v>
      </c>
      <c r="AP201" s="378" t="str">
        <f>IF($C$178="Byron 22A",'BYRON 22A'!$D$153," ")</f>
        <v xml:space="preserve"> </v>
      </c>
      <c r="AQ201" s="377" t="str">
        <f>IF($C$178="Byron 22A",'BYRON 22A'!$C$160," ")</f>
        <v xml:space="preserve"> </v>
      </c>
      <c r="AR201" s="378" t="str">
        <f>IF($C$178="Byron 22A",'BYRON 22A'!$D$160," ")</f>
        <v xml:space="preserve"> </v>
      </c>
    </row>
    <row r="202" spans="2:44" ht="18" customHeight="1">
      <c r="B202" s="586"/>
      <c r="C202" s="587"/>
      <c r="D202" s="365">
        <f t="shared" si="4"/>
        <v>0</v>
      </c>
      <c r="E202" s="445"/>
      <c r="F202" s="363">
        <f t="shared" si="5"/>
        <v>0</v>
      </c>
      <c r="Q202" s="377" t="str">
        <f>IF($C$178="Byron 22A",'BYRON 22A'!$C$7," ")</f>
        <v xml:space="preserve"> </v>
      </c>
      <c r="R202" s="378" t="str">
        <f>IF($C$178="Byron 22A",'BYRON 22A'!$D$7," ")</f>
        <v xml:space="preserve"> </v>
      </c>
      <c r="S202" s="377" t="str">
        <f>IF($C$178="Byron 22A",'BYRON 22A'!$C$21," ")</f>
        <v xml:space="preserve"> </v>
      </c>
      <c r="T202" s="378" t="str">
        <f>IF($C$178="Byron 22A",'BYRON 22A'!$D$21," ")</f>
        <v xml:space="preserve"> </v>
      </c>
      <c r="U202" s="377" t="str">
        <f>IF($C$178="Byron 22A",'BYRON 22A'!$C$33," ")</f>
        <v xml:space="preserve"> </v>
      </c>
      <c r="V202" s="378" t="str">
        <f>IF($C$178="Byron 22A",'BYRON 22A'!$D$33," ")</f>
        <v xml:space="preserve"> </v>
      </c>
      <c r="W202" s="377" t="str">
        <f>IF($C$178="Byron 22A",'BYRON 22A'!$C$46," ")</f>
        <v xml:space="preserve"> </v>
      </c>
      <c r="X202" s="378" t="str">
        <f>IF($C$178="Byron 22A",'BYRON 22A'!$D$46," ")</f>
        <v xml:space="preserve"> </v>
      </c>
      <c r="Y202" s="377" t="str">
        <f>IF($C$178="Byron 22A",'BYRON 22A'!$C$56," ")</f>
        <v xml:space="preserve"> </v>
      </c>
      <c r="Z202" s="378" t="str">
        <f>IF($C$178="Byron 22A",'BYRON 22A'!$D$56," ")</f>
        <v xml:space="preserve"> </v>
      </c>
      <c r="AA202" s="380"/>
      <c r="AB202" s="381"/>
      <c r="AC202" s="377" t="str">
        <f>IF($C$178="Byron 22A",'BYRON 22A'!$C$70," ")</f>
        <v xml:space="preserve"> </v>
      </c>
      <c r="AD202" s="378" t="str">
        <f>IF($C$178="Byron 22A",'BYRON 22A'!$D$70," ")</f>
        <v xml:space="preserve"> </v>
      </c>
      <c r="AE202" s="382"/>
      <c r="AF202" s="382"/>
      <c r="AG202" s="501" t="str">
        <f>IF($C$178="Byron 22A",'BYRON 22A'!$C$84," ")</f>
        <v xml:space="preserve"> </v>
      </c>
      <c r="AH202" s="378" t="str">
        <f>IF($C$178="Byron 22A",'BYRON 22A'!$D$84," ")</f>
        <v xml:space="preserve"> </v>
      </c>
      <c r="AI202" s="501" t="str">
        <f>IF($C$178="Byron 22A",'BYRON 22A'!$C$104," ")</f>
        <v xml:space="preserve"> </v>
      </c>
      <c r="AJ202" s="378" t="str">
        <f>IF($C$178="Byron 22A",'BYRON 22A'!$D$104," ")</f>
        <v xml:space="preserve"> </v>
      </c>
      <c r="AK202" s="377" t="str">
        <f>IF($C$178="Byron 22A",'BYRON 22A'!$C$131," ")</f>
        <v xml:space="preserve"> </v>
      </c>
      <c r="AL202" s="378" t="str">
        <f>IF($C$178="Byron 22A",'BYRON 22A'!$D$131," ")</f>
        <v xml:space="preserve"> </v>
      </c>
      <c r="AM202" s="377" t="str">
        <f>IF($C$178="Byron 22A",'BYRON 22A'!$C$140," ")</f>
        <v xml:space="preserve"> </v>
      </c>
      <c r="AN202" s="378" t="str">
        <f>IF($C$178="Byron 22A",'BYRON 22A'!$D$140," ")</f>
        <v xml:space="preserve"> </v>
      </c>
      <c r="AO202" s="377" t="str">
        <f>IF($C$178="Byron 22A",'BYRON 22A'!$C$154," ")</f>
        <v xml:space="preserve"> </v>
      </c>
      <c r="AP202" s="378" t="str">
        <f>IF($C$178="Byron 22A",'BYRON 22A'!$D$154," ")</f>
        <v xml:space="preserve"> </v>
      </c>
      <c r="AQ202" s="377" t="str">
        <f>IF($C$178="Byron 22A",'BYRON 22A'!$C$161," ")</f>
        <v xml:space="preserve"> </v>
      </c>
      <c r="AR202" s="378" t="str">
        <f>IF($C$178="Byron 22A",'BYRON 22A'!$D$161," ")</f>
        <v xml:space="preserve"> </v>
      </c>
    </row>
    <row r="203" spans="2:44" ht="18" customHeight="1">
      <c r="B203" s="586"/>
      <c r="C203" s="587"/>
      <c r="D203" s="365">
        <f t="shared" si="4"/>
        <v>0</v>
      </c>
      <c r="E203" s="445"/>
      <c r="F203" s="363">
        <f t="shared" si="5"/>
        <v>0</v>
      </c>
      <c r="Q203" s="377" t="str">
        <f>IF($C$178="Byron 22A",'BYRON 22A'!$C$8," ")</f>
        <v xml:space="preserve"> </v>
      </c>
      <c r="R203" s="378" t="str">
        <f>IF($C$178="Byron 22A",'BYRON 22A'!$D$8," ")</f>
        <v xml:space="preserve"> </v>
      </c>
      <c r="S203" s="377" t="str">
        <f>IF($C$178="Byron 22A",'BYRON 22A'!$C$22," ")</f>
        <v xml:space="preserve"> </v>
      </c>
      <c r="T203" s="378" t="str">
        <f>IF($C$178="Byron 22A",'BYRON 22A'!$D$22," ")</f>
        <v xml:space="preserve"> </v>
      </c>
      <c r="U203" s="377" t="str">
        <f>IF($C$178="Byron 22A",'BYRON 22A'!$C$34," ")</f>
        <v xml:space="preserve"> </v>
      </c>
      <c r="V203" s="378" t="str">
        <f>IF($C$178="Byron 22A",'BYRON 22A'!$D$34," ")</f>
        <v xml:space="preserve"> </v>
      </c>
      <c r="W203" s="377" t="str">
        <f>IF($C$178="Byron 22A",'BYRON 22A'!$C$47," ")</f>
        <v xml:space="preserve"> </v>
      </c>
      <c r="X203" s="378" t="str">
        <f>IF($C$178="Byron 22A",'BYRON 22A'!$D$47," ")</f>
        <v xml:space="preserve"> </v>
      </c>
      <c r="Y203" s="377" t="str">
        <f>IF($C$178="Byron 22A",'BYRON 22A'!$C$57," ")</f>
        <v xml:space="preserve"> </v>
      </c>
      <c r="Z203" s="378" t="str">
        <f>IF($C$178="Byron 22A",'BYRON 22A'!$D$57," ")</f>
        <v xml:space="preserve"> </v>
      </c>
      <c r="AA203" s="380"/>
      <c r="AB203" s="381"/>
      <c r="AC203" s="377" t="str">
        <f>IF($C$178="Byron 22A",'BYRON 22A'!$C$71," ")</f>
        <v xml:space="preserve"> </v>
      </c>
      <c r="AD203" s="378" t="str">
        <f>IF($C$178="Byron 22A",'BYRON 22A'!$D$71," ")</f>
        <v xml:space="preserve"> </v>
      </c>
      <c r="AE203" s="382"/>
      <c r="AF203" s="382"/>
      <c r="AG203" s="501" t="str">
        <f>IF($C$178="Byron 22A",'BYRON 22A'!$C$85," ")</f>
        <v xml:space="preserve"> </v>
      </c>
      <c r="AH203" s="378" t="str">
        <f>IF($C$178="Byron 22A",'BYRON 22A'!$D$85," ")</f>
        <v xml:space="preserve"> </v>
      </c>
      <c r="AI203" s="501" t="str">
        <f>IF($C$178="Byron 22A",'BYRON 22A'!$C$105," ")</f>
        <v xml:space="preserve"> </v>
      </c>
      <c r="AJ203" s="378" t="str">
        <f>IF($C$178="Byron 22A",'BYRON 22A'!$D$105," ")</f>
        <v xml:space="preserve"> </v>
      </c>
      <c r="AK203" s="377" t="str">
        <f>IF($C$178="Byron 22A",'BYRON 22A'!$C$132," ")</f>
        <v xml:space="preserve"> </v>
      </c>
      <c r="AL203" s="378" t="str">
        <f>IF($C$178="Byron 22A",'BYRON 22A'!$D$132," ")</f>
        <v xml:space="preserve"> </v>
      </c>
      <c r="AM203" s="377" t="str">
        <f>IF($C$178="Byron 22A",'BYRON 22A'!$C$141," ")</f>
        <v xml:space="preserve"> </v>
      </c>
      <c r="AN203" s="378" t="str">
        <f>IF($C$178="Byron 22A",'BYRON 22A'!$D$141," ")</f>
        <v xml:space="preserve"> </v>
      </c>
      <c r="AO203" s="377" t="str">
        <f>IF($C$178="Byron 22A",'BYRON 22A'!$C$155," ")</f>
        <v xml:space="preserve"> </v>
      </c>
      <c r="AP203" s="378" t="str">
        <f>IF($C$178="Byron 22A",'BYRON 22A'!$D$155," ")</f>
        <v xml:space="preserve"> </v>
      </c>
      <c r="AQ203" s="377" t="str">
        <f>IF($C$178="Byron 22A",'BYRON 22A'!$C$162," ")</f>
        <v xml:space="preserve"> </v>
      </c>
      <c r="AR203" s="378" t="str">
        <f>IF($C$178="Byron 22A",'BYRON 22A'!$D$162," ")</f>
        <v xml:space="preserve"> </v>
      </c>
    </row>
    <row r="204" spans="2:44" ht="18" customHeight="1">
      <c r="B204" s="586"/>
      <c r="C204" s="587"/>
      <c r="D204" s="365">
        <f t="shared" si="4"/>
        <v>0</v>
      </c>
      <c r="E204" s="445"/>
      <c r="F204" s="363">
        <f t="shared" si="5"/>
        <v>0</v>
      </c>
      <c r="Q204" s="377" t="str">
        <f>IF($C$178="Byron 22A",'BYRON 22A'!$C$9," ")</f>
        <v xml:space="preserve"> </v>
      </c>
      <c r="R204" s="378" t="str">
        <f>IF($C$178="Byron 22A",'BYRON 22A'!$D$9," ")</f>
        <v xml:space="preserve"> </v>
      </c>
      <c r="S204" s="377" t="str">
        <f>IF($C$178="Byron 22A",'BYRON 22A'!$C$23," ")</f>
        <v xml:space="preserve"> </v>
      </c>
      <c r="T204" s="378" t="str">
        <f>IF($C$178="Byron 22A",'BYRON 22A'!$D$23," ")</f>
        <v xml:space="preserve"> </v>
      </c>
      <c r="U204" s="377" t="str">
        <f>IF($C$178="Byron 22A",'BYRON 22A'!$C$35," ")</f>
        <v xml:space="preserve"> </v>
      </c>
      <c r="V204" s="378" t="str">
        <f>IF($C$178="Byron 22A",'BYRON 22A'!$D$35," ")</f>
        <v xml:space="preserve"> </v>
      </c>
      <c r="W204" s="377" t="str">
        <f>IF($C$178="Byron 22A",'BYRON 22A'!$C$48," ")</f>
        <v xml:space="preserve"> </v>
      </c>
      <c r="X204" s="378" t="str">
        <f>IF($C$178="Byron 22A",'BYRON 22A'!$D$48," ")</f>
        <v xml:space="preserve"> </v>
      </c>
      <c r="Y204" s="377" t="str">
        <f>IF($C$178="Byron 22A",'BYRON 22A'!$C$58," ")</f>
        <v xml:space="preserve"> </v>
      </c>
      <c r="Z204" s="378" t="str">
        <f>IF($C$178="Byron 22A",'BYRON 22A'!$D$58," ")</f>
        <v xml:space="preserve"> </v>
      </c>
      <c r="AA204" s="380"/>
      <c r="AB204" s="381"/>
      <c r="AC204" s="377" t="str">
        <f>IF($C$178="Byron 22A",'BYRON 22A'!$C$72," ")</f>
        <v xml:space="preserve"> </v>
      </c>
      <c r="AD204" s="378" t="str">
        <f>IF($C$178="Byron 22A",'BYRON 22A'!$D$72," ")</f>
        <v xml:space="preserve"> </v>
      </c>
      <c r="AE204" s="382"/>
      <c r="AF204" s="382"/>
      <c r="AG204" s="501" t="str">
        <f>IF($C$178="Byron 22A",'BYRON 22A'!$C$86," ")</f>
        <v xml:space="preserve"> </v>
      </c>
      <c r="AH204" s="378" t="str">
        <f>IF($C$178="Byron 22A",'BYRON 22A'!$D$86," ")</f>
        <v xml:space="preserve"> </v>
      </c>
      <c r="AI204" s="501" t="str">
        <f>IF($C$178="Byron 22A",'BYRON 22A'!$C$106," ")</f>
        <v xml:space="preserve"> </v>
      </c>
      <c r="AJ204" s="378" t="str">
        <f>IF($C$178="Byron 22A",'BYRON 22A'!$D$106," ")</f>
        <v xml:space="preserve"> </v>
      </c>
      <c r="AK204" s="377" t="str">
        <f>IF($C$178="Byron 22A",'BYRON 22A'!$C$133," ")</f>
        <v xml:space="preserve"> </v>
      </c>
      <c r="AL204" s="378" t="str">
        <f>IF($C$178="Byron 22A",'BYRON 22A'!$D$133," ")</f>
        <v xml:space="preserve"> </v>
      </c>
      <c r="AM204" s="377" t="str">
        <f>IF($C$178="Byron 22A",'BYRON 22A'!$C$142," ")</f>
        <v xml:space="preserve"> </v>
      </c>
      <c r="AN204" s="378" t="str">
        <f>IF($C$178="Byron 22A",'BYRON 22A'!$D$142," ")</f>
        <v xml:space="preserve"> </v>
      </c>
      <c r="AO204" s="380"/>
      <c r="AP204" s="381"/>
      <c r="AQ204" s="377" t="str">
        <f>IF($C$178="Byron 22A",'BYRON 22A'!$C$163," ")</f>
        <v xml:space="preserve"> </v>
      </c>
      <c r="AR204" s="378" t="str">
        <f>IF($C$178="Byron 22A",'BYRON 22A'!$D$163," ")</f>
        <v xml:space="preserve"> </v>
      </c>
    </row>
    <row r="205" spans="2:44" ht="18" customHeight="1">
      <c r="B205" s="586"/>
      <c r="C205" s="587"/>
      <c r="D205" s="365">
        <f t="shared" si="4"/>
        <v>0</v>
      </c>
      <c r="E205" s="445"/>
      <c r="F205" s="363">
        <f t="shared" si="5"/>
        <v>0</v>
      </c>
      <c r="Q205" s="377" t="str">
        <f>IF($C$178="Byron 22A",'BYRON 22A'!$C$10," ")</f>
        <v xml:space="preserve"> </v>
      </c>
      <c r="R205" s="378" t="str">
        <f>IF($C$178="Byron 22A",'BYRON 22A'!$D$10," ")</f>
        <v xml:space="preserve"> </v>
      </c>
      <c r="S205" s="377" t="str">
        <f>IF($C$178="Byron 22A",'BYRON 22A'!$C$24," ")</f>
        <v xml:space="preserve"> </v>
      </c>
      <c r="T205" s="378" t="str">
        <f>IF($C$178="Byron 22A",'BYRON 22A'!$D$24," ")</f>
        <v xml:space="preserve"> </v>
      </c>
      <c r="U205" s="377" t="str">
        <f>IF($C$178="Byron 22A",'BYRON 22A'!$C$36," ")</f>
        <v xml:space="preserve"> </v>
      </c>
      <c r="V205" s="378" t="str">
        <f>IF($C$178="Byron 22A",'BYRON 22A'!$D$36," ")</f>
        <v xml:space="preserve"> </v>
      </c>
      <c r="W205" s="377" t="str">
        <f>IF($C$178="Byron 22A",'BYRON 22A'!$C$49," ")</f>
        <v xml:space="preserve"> </v>
      </c>
      <c r="X205" s="378" t="str">
        <f>IF($C$178="Byron 22A",'BYRON 22A'!$D$49," ")</f>
        <v xml:space="preserve"> </v>
      </c>
      <c r="Y205" s="380"/>
      <c r="Z205" s="381"/>
      <c r="AA205" s="380"/>
      <c r="AB205" s="381"/>
      <c r="AC205" s="377" t="str">
        <f>IF($C$178="Byron 22A",'BYRON 22A'!$C$73," ")</f>
        <v xml:space="preserve"> </v>
      </c>
      <c r="AD205" s="378" t="str">
        <f>IF($C$178="Byron 22A",'BYRON 22A'!$D$73," ")</f>
        <v xml:space="preserve"> </v>
      </c>
      <c r="AE205" s="382"/>
      <c r="AF205" s="382"/>
      <c r="AG205" s="501" t="str">
        <f>IF($C$178="Byron 22A",'BYRON 22A'!$C$87," ")</f>
        <v xml:space="preserve"> </v>
      </c>
      <c r="AH205" s="378" t="str">
        <f>IF($C$178="Byron 22A",'BYRON 22A'!$D$87," ")</f>
        <v xml:space="preserve"> </v>
      </c>
      <c r="AI205" s="501" t="str">
        <f>IF($C$178="Byron 22A",'BYRON 22A'!$C$107," ")</f>
        <v xml:space="preserve"> </v>
      </c>
      <c r="AJ205" s="378" t="str">
        <f>IF($C$178="Byron 22A",'BYRON 22A'!$D$107," ")</f>
        <v xml:space="preserve"> </v>
      </c>
      <c r="AK205" s="380"/>
      <c r="AL205" s="381"/>
      <c r="AM205" s="377" t="str">
        <f>IF($C$178="Byron 22A",'BYRON 22A'!$C$143," ")</f>
        <v xml:space="preserve"> </v>
      </c>
      <c r="AN205" s="378" t="str">
        <f>IF($C$178="Byron 22A",'BYRON 22A'!$D$143," ")</f>
        <v xml:space="preserve"> </v>
      </c>
      <c r="AO205" s="380"/>
      <c r="AP205" s="381"/>
      <c r="AQ205" s="377" t="str">
        <f>IF($C$178="Byron 22A",'BYRON 22A'!$C$164," ")</f>
        <v xml:space="preserve"> </v>
      </c>
      <c r="AR205" s="378" t="str">
        <f>IF($C$178="Byron 22A",'BYRON 22A'!$D$164," ")</f>
        <v xml:space="preserve"> </v>
      </c>
    </row>
    <row r="206" spans="2:44" ht="18" customHeight="1">
      <c r="B206" s="586"/>
      <c r="C206" s="587"/>
      <c r="D206" s="365">
        <f t="shared" si="4"/>
        <v>0</v>
      </c>
      <c r="E206" s="445"/>
      <c r="F206" s="363">
        <f t="shared" si="5"/>
        <v>0</v>
      </c>
      <c r="Q206" s="377" t="str">
        <f>IF($C$178="Byron 22A",'BYRON 22A'!$C$11," ")</f>
        <v xml:space="preserve"> </v>
      </c>
      <c r="R206" s="378" t="str">
        <f>IF($C$178="Byron 22A",'BYRON 22A'!$D$11," ")</f>
        <v xml:space="preserve"> </v>
      </c>
      <c r="S206" s="377" t="str">
        <f>IF($C$178="Byron 22A",'BYRON 22A'!$C$25," ")</f>
        <v xml:space="preserve"> </v>
      </c>
      <c r="T206" s="378" t="str">
        <f>IF($C$178="Byron 22A",'BYRON 22A'!$D$25," ")</f>
        <v xml:space="preserve"> </v>
      </c>
      <c r="U206" s="377" t="str">
        <f>IF($C$178="Byron 22A",'BYRON 22A'!$C$37," ")</f>
        <v xml:space="preserve"> </v>
      </c>
      <c r="V206" s="378" t="str">
        <f>IF($C$178="Byron 22A",'BYRON 22A'!$D$37," ")</f>
        <v xml:space="preserve"> </v>
      </c>
      <c r="W206" s="377" t="str">
        <f>IF($C$178="Byron 22A",'BYRON 22A'!$C$50," ")</f>
        <v xml:space="preserve"> </v>
      </c>
      <c r="X206" s="378" t="str">
        <f>IF($C$178="Byron 22A",'BYRON 22A'!$D$50," ")</f>
        <v xml:space="preserve"> </v>
      </c>
      <c r="Y206" s="380"/>
      <c r="Z206" s="381"/>
      <c r="AA206" s="380"/>
      <c r="AB206" s="381"/>
      <c r="AC206" s="382"/>
      <c r="AD206" s="382"/>
      <c r="AE206" s="382"/>
      <c r="AF206" s="382"/>
      <c r="AG206" s="501" t="str">
        <f>IF($C$178="Byron 22A",'BYRON 22A'!$C$88," ")</f>
        <v xml:space="preserve"> </v>
      </c>
      <c r="AH206" s="378" t="str">
        <f>IF($C$178="Byron 22A",'BYRON 22A'!$D$88," ")</f>
        <v xml:space="preserve"> </v>
      </c>
      <c r="AI206" s="501" t="str">
        <f>IF($C$178="Byron 22A",'BYRON 22A'!$C$108," ")</f>
        <v xml:space="preserve"> </v>
      </c>
      <c r="AJ206" s="378" t="str">
        <f>IF($C$178="Byron 22A",'BYRON 22A'!$D$108," ")</f>
        <v xml:space="preserve"> </v>
      </c>
      <c r="AK206" s="380"/>
      <c r="AL206" s="381"/>
      <c r="AM206" s="377" t="str">
        <f>IF($C$178="Byron 22A",'BYRON 22A'!$C$144," ")</f>
        <v xml:space="preserve"> </v>
      </c>
      <c r="AN206" s="378" t="str">
        <f>IF($C$178="Byron 22A",'BYRON 22A'!$D$144," ")</f>
        <v xml:space="preserve"> </v>
      </c>
      <c r="AO206" s="380"/>
      <c r="AP206" s="381"/>
      <c r="AQ206" s="380"/>
      <c r="AR206" s="381"/>
    </row>
    <row r="207" spans="2:44" ht="18" customHeight="1">
      <c r="B207" s="586"/>
      <c r="C207" s="587"/>
      <c r="D207" s="365">
        <f t="shared" si="4"/>
        <v>0</v>
      </c>
      <c r="E207" s="445"/>
      <c r="F207" s="363">
        <f t="shared" si="5"/>
        <v>0</v>
      </c>
      <c r="Q207" s="377" t="str">
        <f>IF($C$178="Byron 22A",'BYRON 22A'!$C$12," ")</f>
        <v xml:space="preserve"> </v>
      </c>
      <c r="R207" s="378" t="str">
        <f>IF($C$178="Byron 22A",'BYRON 22A'!$D$12," ")</f>
        <v xml:space="preserve"> </v>
      </c>
      <c r="S207" s="377" t="str">
        <f>IF($C$178="Byron 22A",'BYRON 22A'!$C$26," ")</f>
        <v xml:space="preserve"> </v>
      </c>
      <c r="T207" s="378" t="str">
        <f>IF($C$178="Byron 22A",'BYRON 22A'!$D$26," ")</f>
        <v xml:space="preserve"> </v>
      </c>
      <c r="U207" s="377" t="str">
        <f>IF($C$178="Byron 22A",'BYRON 22A'!$C$38," ")</f>
        <v xml:space="preserve"> </v>
      </c>
      <c r="V207" s="378" t="str">
        <f>IF($C$178="Byron 22A",'BYRON 22A'!$D$38," ")</f>
        <v xml:space="preserve"> </v>
      </c>
      <c r="W207" s="380"/>
      <c r="X207" s="381"/>
      <c r="Y207" s="380"/>
      <c r="Z207" s="381"/>
      <c r="AA207" s="380"/>
      <c r="AB207" s="381"/>
      <c r="AC207" s="382"/>
      <c r="AD207" s="382"/>
      <c r="AE207" s="382"/>
      <c r="AF207" s="382"/>
      <c r="AG207" s="501" t="str">
        <f>IF($C$178="Byron 22A",'BYRON 22A'!$C$89," ")</f>
        <v xml:space="preserve"> </v>
      </c>
      <c r="AH207" s="378" t="str">
        <f>IF($C$178="Byron 22A",'BYRON 22A'!$D$89," ")</f>
        <v xml:space="preserve"> </v>
      </c>
      <c r="AI207" s="501" t="str">
        <f>IF($C$178="Byron 22A",'BYRON 22A'!$C$109," ")</f>
        <v xml:space="preserve"> </v>
      </c>
      <c r="AJ207" s="378" t="str">
        <f>IF($C$178="Byron 22A",'BYRON 22A'!$D$109," ")</f>
        <v xml:space="preserve"> </v>
      </c>
      <c r="AK207" s="380"/>
      <c r="AL207" s="381"/>
      <c r="AM207" s="377" t="str">
        <f>IF($C$178="Byron 22A",'BYRON 22A'!$C$145," ")</f>
        <v xml:space="preserve"> </v>
      </c>
      <c r="AN207" s="378" t="str">
        <f>IF($C$178="Byron 22A",'BYRON 22A'!$D$145," ")</f>
        <v xml:space="preserve"> </v>
      </c>
      <c r="AO207" s="380"/>
      <c r="AP207" s="381"/>
      <c r="AQ207" s="380"/>
      <c r="AR207" s="381"/>
    </row>
    <row r="208" spans="2:44" ht="18" customHeight="1">
      <c r="B208" s="586"/>
      <c r="C208" s="587"/>
      <c r="D208" s="365">
        <f t="shared" si="4"/>
        <v>0</v>
      </c>
      <c r="E208" s="445"/>
      <c r="F208" s="363">
        <f t="shared" si="5"/>
        <v>0</v>
      </c>
      <c r="Q208" s="377" t="str">
        <f>IF($C$178="Byron 22A",'BYRON 22A'!$C$13," ")</f>
        <v xml:space="preserve"> </v>
      </c>
      <c r="R208" s="378" t="str">
        <f>IF($C$178="Byron 22A",'BYRON 22A'!$D$13," ")</f>
        <v xml:space="preserve"> </v>
      </c>
      <c r="S208" s="382"/>
      <c r="T208" s="382"/>
      <c r="U208" s="377" t="str">
        <f>IF($C$178="Byron 22A",'BYRON 22A'!$C$39," ")</f>
        <v xml:space="preserve"> </v>
      </c>
      <c r="V208" s="378" t="str">
        <f>IF($C$178="Byron 22A",'BYRON 22A'!$D$39," ")</f>
        <v xml:space="preserve"> </v>
      </c>
      <c r="W208" s="380"/>
      <c r="X208" s="381"/>
      <c r="Y208" s="380"/>
      <c r="Z208" s="381"/>
      <c r="AA208" s="380"/>
      <c r="AB208" s="381"/>
      <c r="AC208" s="382"/>
      <c r="AD208" s="382"/>
      <c r="AE208" s="382"/>
      <c r="AF208" s="382"/>
      <c r="AG208" s="501" t="str">
        <f>IF($C$178="Byron 22A",'BYRON 22A'!$C$90," ")</f>
        <v xml:space="preserve"> </v>
      </c>
      <c r="AH208" s="378" t="str">
        <f>IF($C$178="Byron 22A",'BYRON 22A'!$D$90," ")</f>
        <v xml:space="preserve"> </v>
      </c>
      <c r="AI208" s="501" t="str">
        <f>IF($C$178="Byron 22A",'BYRON 22A'!$C$110," ")</f>
        <v xml:space="preserve"> </v>
      </c>
      <c r="AJ208" s="378" t="str">
        <f>IF($C$178="Byron 22A",'BYRON 22A'!$D$110," ")</f>
        <v xml:space="preserve"> </v>
      </c>
      <c r="AK208" s="380"/>
      <c r="AL208" s="381"/>
      <c r="AM208" s="377" t="str">
        <f>IF($C$178="Byron 22A",'BYRON 22A'!$C$146," ")</f>
        <v xml:space="preserve"> </v>
      </c>
      <c r="AN208" s="378" t="str">
        <f>IF($C$178="Byron 22A",'BYRON 22A'!$D$146," ")</f>
        <v xml:space="preserve"> </v>
      </c>
      <c r="AO208" s="380"/>
      <c r="AP208" s="381"/>
      <c r="AQ208" s="380"/>
      <c r="AR208" s="381"/>
    </row>
    <row r="209" spans="2:44" ht="18" customHeight="1">
      <c r="B209" s="586"/>
      <c r="C209" s="587"/>
      <c r="D209" s="365">
        <f t="shared" si="4"/>
        <v>0</v>
      </c>
      <c r="E209" s="445"/>
      <c r="F209" s="363">
        <f t="shared" ref="F209:F213" si="6">IF(D209=" "," ",SUM(E209-D209))</f>
        <v>0</v>
      </c>
      <c r="Q209" s="377" t="str">
        <f>IF($C$178="Byron 22A",'BYRON 22A'!$C$14," ")</f>
        <v xml:space="preserve"> </v>
      </c>
      <c r="R209" s="378" t="str">
        <f>IF($C$178="Byron 22A",'BYRON 22A'!$D$14," ")</f>
        <v xml:space="preserve"> </v>
      </c>
      <c r="S209" s="382"/>
      <c r="T209" s="382"/>
      <c r="U209" s="377" t="str">
        <f>IF($C$178="Byron 22A",'BYRON 22A'!$C$40," ")</f>
        <v xml:space="preserve"> </v>
      </c>
      <c r="V209" s="378" t="str">
        <f>IF($C$178="Byron 22A",'BYRON 22A'!$D$40," ")</f>
        <v xml:space="preserve"> </v>
      </c>
      <c r="W209" s="380"/>
      <c r="X209" s="381"/>
      <c r="Y209" s="380"/>
      <c r="Z209" s="381"/>
      <c r="AA209" s="380"/>
      <c r="AB209" s="381"/>
      <c r="AC209" s="382"/>
      <c r="AD209" s="382"/>
      <c r="AE209" s="382"/>
      <c r="AF209" s="382"/>
      <c r="AG209" s="501" t="str">
        <f>IF($C$178="Byron 22A",'BYRON 22A'!$C$91," ")</f>
        <v xml:space="preserve"> </v>
      </c>
      <c r="AH209" s="378" t="str">
        <f>IF($C$178="Byron 22A",'BYRON 22A'!$D$91," ")</f>
        <v xml:space="preserve"> </v>
      </c>
      <c r="AI209" s="501" t="str">
        <f>IF($C$178="Byron 22A",'BYRON 22A'!$C$111," ")</f>
        <v xml:space="preserve"> </v>
      </c>
      <c r="AJ209" s="378" t="str">
        <f>IF($C$178="Byron 22A",'BYRON 22A'!$D$111," ")</f>
        <v xml:space="preserve"> </v>
      </c>
      <c r="AK209" s="380"/>
      <c r="AL209" s="381"/>
      <c r="AM209" s="377" t="str">
        <f>IF($C$178="Byron 22A",'BYRON 22A'!$C$147," ")</f>
        <v xml:space="preserve"> </v>
      </c>
      <c r="AN209" s="378" t="str">
        <f>IF($C$178="Byron 22A",'BYRON 22A'!$D$147," ")</f>
        <v xml:space="preserve"> </v>
      </c>
      <c r="AO209" s="380"/>
      <c r="AP209" s="381"/>
      <c r="AQ209" s="380"/>
      <c r="AR209" s="381"/>
    </row>
    <row r="210" spans="2:44" ht="18" customHeight="1">
      <c r="B210" s="586"/>
      <c r="C210" s="587"/>
      <c r="D210" s="364">
        <f t="shared" si="4"/>
        <v>0</v>
      </c>
      <c r="E210" s="517"/>
      <c r="F210" s="363">
        <f t="shared" si="6"/>
        <v>0</v>
      </c>
      <c r="Q210" s="377"/>
      <c r="R210" s="378"/>
      <c r="S210" s="382"/>
      <c r="T210" s="382"/>
      <c r="U210" s="377"/>
      <c r="V210" s="378"/>
      <c r="W210" s="380"/>
      <c r="X210" s="381"/>
      <c r="Y210" s="380"/>
      <c r="Z210" s="381"/>
      <c r="AA210" s="380"/>
      <c r="AB210" s="381"/>
      <c r="AC210" s="382"/>
      <c r="AD210" s="382"/>
      <c r="AE210" s="382"/>
      <c r="AF210" s="382"/>
      <c r="AG210" s="501"/>
      <c r="AH210" s="378"/>
      <c r="AI210" s="501"/>
      <c r="AJ210" s="378"/>
      <c r="AK210" s="380"/>
      <c r="AL210" s="381"/>
      <c r="AM210" s="377"/>
      <c r="AN210" s="378"/>
      <c r="AO210" s="380"/>
      <c r="AP210" s="381"/>
      <c r="AQ210" s="380"/>
      <c r="AR210" s="381"/>
    </row>
    <row r="211" spans="2:44" ht="18" customHeight="1">
      <c r="B211" s="586"/>
      <c r="C211" s="587"/>
      <c r="D211" s="364">
        <f t="shared" si="4"/>
        <v>0</v>
      </c>
      <c r="E211" s="517"/>
      <c r="F211" s="363">
        <f t="shared" si="6"/>
        <v>0</v>
      </c>
      <c r="Q211" s="377"/>
      <c r="R211" s="378"/>
      <c r="S211" s="382"/>
      <c r="T211" s="382"/>
      <c r="U211" s="377"/>
      <c r="V211" s="378"/>
      <c r="W211" s="380"/>
      <c r="X211" s="381"/>
      <c r="Y211" s="380"/>
      <c r="Z211" s="381"/>
      <c r="AA211" s="380"/>
      <c r="AB211" s="381"/>
      <c r="AC211" s="382"/>
      <c r="AD211" s="382"/>
      <c r="AE211" s="382"/>
      <c r="AF211" s="382"/>
      <c r="AG211" s="501"/>
      <c r="AH211" s="378"/>
      <c r="AI211" s="501"/>
      <c r="AJ211" s="378"/>
      <c r="AK211" s="380"/>
      <c r="AL211" s="381"/>
      <c r="AM211" s="377"/>
      <c r="AN211" s="378"/>
      <c r="AO211" s="380"/>
      <c r="AP211" s="381"/>
      <c r="AQ211" s="380"/>
      <c r="AR211" s="381"/>
    </row>
    <row r="212" spans="2:44" ht="18" customHeight="1">
      <c r="B212" s="586"/>
      <c r="C212" s="587"/>
      <c r="D212" s="364">
        <f t="shared" si="4"/>
        <v>0</v>
      </c>
      <c r="E212" s="517"/>
      <c r="F212" s="363">
        <f t="shared" si="6"/>
        <v>0</v>
      </c>
      <c r="Q212" s="377"/>
      <c r="R212" s="378"/>
      <c r="S212" s="382"/>
      <c r="T212" s="382"/>
      <c r="U212" s="377"/>
      <c r="V212" s="378"/>
      <c r="W212" s="380"/>
      <c r="X212" s="381"/>
      <c r="Y212" s="380"/>
      <c r="Z212" s="381"/>
      <c r="AA212" s="380"/>
      <c r="AB212" s="381"/>
      <c r="AC212" s="382"/>
      <c r="AD212" s="382"/>
      <c r="AE212" s="382"/>
      <c r="AF212" s="382"/>
      <c r="AG212" s="501"/>
      <c r="AH212" s="378"/>
      <c r="AI212" s="501"/>
      <c r="AJ212" s="378"/>
      <c r="AK212" s="380"/>
      <c r="AL212" s="381"/>
      <c r="AM212" s="377"/>
      <c r="AN212" s="378"/>
      <c r="AO212" s="380"/>
      <c r="AP212" s="381"/>
      <c r="AQ212" s="380"/>
      <c r="AR212" s="381"/>
    </row>
    <row r="213" spans="2:44" ht="18" customHeight="1">
      <c r="B213" s="586"/>
      <c r="C213" s="587"/>
      <c r="D213" s="364">
        <f t="shared" si="4"/>
        <v>0</v>
      </c>
      <c r="E213" s="517"/>
      <c r="F213" s="363">
        <f t="shared" si="6"/>
        <v>0</v>
      </c>
      <c r="Q213" s="377"/>
      <c r="R213" s="378"/>
      <c r="S213" s="382"/>
      <c r="T213" s="382"/>
      <c r="U213" s="377"/>
      <c r="V213" s="378"/>
      <c r="W213" s="380"/>
      <c r="X213" s="381"/>
      <c r="Y213" s="380"/>
      <c r="Z213" s="381"/>
      <c r="AA213" s="380"/>
      <c r="AB213" s="381"/>
      <c r="AC213" s="382"/>
      <c r="AD213" s="382"/>
      <c r="AE213" s="382"/>
      <c r="AF213" s="382"/>
      <c r="AG213" s="501"/>
      <c r="AH213" s="378"/>
      <c r="AI213" s="501"/>
      <c r="AJ213" s="378"/>
      <c r="AK213" s="380"/>
      <c r="AL213" s="381"/>
      <c r="AM213" s="377"/>
      <c r="AN213" s="378"/>
      <c r="AO213" s="380"/>
      <c r="AP213" s="381"/>
      <c r="AQ213" s="380"/>
      <c r="AR213" s="381"/>
    </row>
    <row r="214" spans="2:44" ht="18" customHeight="1">
      <c r="B214" s="588" t="s">
        <v>1134</v>
      </c>
      <c r="C214" s="589"/>
      <c r="D214" s="589"/>
      <c r="E214" s="589"/>
      <c r="F214" s="590"/>
      <c r="Q214" s="377" t="str">
        <f>IF($C$178="Byron 22A",'BYRON 22A'!$C$15," ")</f>
        <v xml:space="preserve"> </v>
      </c>
      <c r="R214" s="378" t="str">
        <f>IF($C$178="Byron 22A",'BYRON 22A'!$D$15," ")</f>
        <v xml:space="preserve"> </v>
      </c>
      <c r="S214" s="382"/>
      <c r="T214" s="382"/>
      <c r="U214" s="380"/>
      <c r="V214" s="381"/>
      <c r="W214" s="380"/>
      <c r="X214" s="381"/>
      <c r="Y214" s="380"/>
      <c r="Z214" s="381"/>
      <c r="AA214" s="380"/>
      <c r="AB214" s="381"/>
      <c r="AC214" s="382"/>
      <c r="AD214" s="382"/>
      <c r="AE214" s="382"/>
      <c r="AF214" s="382"/>
      <c r="AG214" s="501" t="str">
        <f>IF($C$178="Byron 22A",'BYRON 22A'!$C$92," ")</f>
        <v xml:space="preserve"> </v>
      </c>
      <c r="AH214" s="378" t="str">
        <f>IF($C$178="Byron 22A",'BYRON 22A'!$D$92," ")</f>
        <v xml:space="preserve"> </v>
      </c>
      <c r="AI214" s="501" t="str">
        <f>IF($C$178="Byron 22A",'BYRON 22A'!$C$112," ")</f>
        <v xml:space="preserve"> </v>
      </c>
      <c r="AJ214" s="378" t="str">
        <f>IF($C$178="Byron 22A",'BYRON 22A'!$D$112," ")</f>
        <v xml:space="preserve"> </v>
      </c>
      <c r="AK214" s="380"/>
      <c r="AL214" s="381"/>
      <c r="AM214" s="377" t="str">
        <f>IF($C$178="Byron 22A",'BYRON 22A'!$C$148," ")</f>
        <v xml:space="preserve"> </v>
      </c>
      <c r="AN214" s="378" t="str">
        <f>IF($C$178="Byron 22A",'BYRON 22A'!$D$148," ")</f>
        <v xml:space="preserve"> </v>
      </c>
      <c r="AO214" s="380"/>
      <c r="AP214" s="381"/>
      <c r="AQ214" s="380"/>
      <c r="AR214" s="381"/>
    </row>
    <row r="215" spans="2:44" ht="18" customHeight="1">
      <c r="B215" s="586"/>
      <c r="C215" s="587"/>
      <c r="D215" s="365">
        <f t="shared" ref="D215:D223" si="7">_xlfn.XLOOKUP($B215,$S$173:$S$393,$T$173:$T$393)</f>
        <v>0</v>
      </c>
      <c r="E215" s="445"/>
      <c r="F215" s="363">
        <f>IF(D215="Included",0,IF(B215=" ",0,SUM(E215-D215)))</f>
        <v>0</v>
      </c>
      <c r="Q215" s="382"/>
      <c r="R215" s="483"/>
      <c r="S215" s="382"/>
      <c r="T215" s="382"/>
      <c r="U215" s="382"/>
      <c r="V215" s="382"/>
      <c r="W215" s="382"/>
      <c r="X215" s="382"/>
      <c r="Y215" s="382"/>
      <c r="Z215" s="382"/>
      <c r="AA215" s="382"/>
      <c r="AB215" s="382"/>
      <c r="AC215" s="382"/>
      <c r="AD215" s="382"/>
      <c r="AE215" s="382"/>
      <c r="AF215" s="382"/>
      <c r="AG215" s="501" t="str">
        <f>IF($C$178="Byron 22A",'BYRON 22A'!$C$93," ")</f>
        <v xml:space="preserve"> </v>
      </c>
      <c r="AH215" s="378" t="str">
        <f>IF($C$178="Byron 22A",'BYRON 22A'!$D$93," ")</f>
        <v xml:space="preserve"> </v>
      </c>
      <c r="AI215" s="501" t="str">
        <f>IF($C$178="Byron 22A",'BYRON 22A'!$C$113," ")</f>
        <v xml:space="preserve"> </v>
      </c>
      <c r="AJ215" s="378" t="str">
        <f>IF($C$178="Byron 22A",'BYRON 22A'!$D$113," ")</f>
        <v xml:space="preserve"> </v>
      </c>
      <c r="AK215" s="380"/>
      <c r="AL215" s="381"/>
      <c r="AM215" s="380"/>
      <c r="AN215" s="381"/>
      <c r="AO215" s="380"/>
      <c r="AP215" s="381"/>
      <c r="AQ215" s="380"/>
      <c r="AR215" s="381"/>
    </row>
    <row r="216" spans="2:44" ht="18" customHeight="1">
      <c r="B216" s="586"/>
      <c r="C216" s="587"/>
      <c r="D216" s="365">
        <f t="shared" si="7"/>
        <v>0</v>
      </c>
      <c r="E216" s="447"/>
      <c r="F216" s="363">
        <f t="shared" ref="F216:F223" si="8">IF(D216="Included",0,IF(B216=" ",0,SUM(E216-D216)))</f>
        <v>0</v>
      </c>
      <c r="Q216" s="382"/>
      <c r="R216" s="483"/>
      <c r="S216" s="382"/>
      <c r="T216" s="382"/>
      <c r="U216" s="382"/>
      <c r="V216" s="382"/>
      <c r="W216" s="382"/>
      <c r="X216" s="382"/>
      <c r="Y216" s="382"/>
      <c r="Z216" s="382"/>
      <c r="AA216" s="382"/>
      <c r="AB216" s="382"/>
      <c r="AC216" s="382"/>
      <c r="AD216" s="382"/>
      <c r="AE216" s="382"/>
      <c r="AF216" s="382"/>
      <c r="AG216" s="501" t="str">
        <f>IF($C$178="Byron 22A",'BYRON 22A'!$C$94," ")</f>
        <v xml:space="preserve"> </v>
      </c>
      <c r="AH216" s="378" t="str">
        <f>IF($C$178="Byron 22A",'BYRON 22A'!$D$94," ")</f>
        <v xml:space="preserve"> </v>
      </c>
      <c r="AI216" s="501" t="str">
        <f>IF($C$178="Byron 22A",'BYRON 22A'!$C$114," ")</f>
        <v xml:space="preserve"> </v>
      </c>
      <c r="AJ216" s="378" t="str">
        <f>IF($C$178="Byron 22A",'BYRON 22A'!$D$114," ")</f>
        <v xml:space="preserve"> </v>
      </c>
      <c r="AK216" s="380"/>
      <c r="AL216" s="381"/>
      <c r="AM216" s="380"/>
      <c r="AN216" s="381"/>
      <c r="AO216" s="380"/>
      <c r="AP216" s="381"/>
      <c r="AQ216" s="380"/>
      <c r="AR216" s="381"/>
    </row>
    <row r="217" spans="2:44" ht="18" customHeight="1">
      <c r="B217" s="586"/>
      <c r="C217" s="587"/>
      <c r="D217" s="365">
        <f t="shared" si="7"/>
        <v>0</v>
      </c>
      <c r="E217" s="447"/>
      <c r="F217" s="363">
        <f t="shared" si="8"/>
        <v>0</v>
      </c>
      <c r="Q217" s="382"/>
      <c r="R217" s="504"/>
      <c r="S217" s="382"/>
      <c r="T217" s="382"/>
      <c r="U217" s="382"/>
      <c r="V217" s="382"/>
      <c r="W217" s="382"/>
      <c r="X217" s="382"/>
      <c r="Y217" s="382"/>
      <c r="Z217" s="382"/>
      <c r="AA217" s="382"/>
      <c r="AB217" s="382"/>
      <c r="AC217" s="382"/>
      <c r="AD217" s="382"/>
      <c r="AE217" s="382"/>
      <c r="AF217" s="382"/>
      <c r="AG217" s="501" t="str">
        <f>IF($C$178="Byron 22A",'BYRON 22A'!$C$95," ")</f>
        <v xml:space="preserve"> </v>
      </c>
      <c r="AH217" s="378" t="str">
        <f>IF($C$178="Byron 22A",'BYRON 22A'!$D$95," ")</f>
        <v xml:space="preserve"> </v>
      </c>
      <c r="AI217" s="501" t="str">
        <f>IF($C$178="Byron 22A",'BYRON 22A'!$C$115," ")</f>
        <v xml:space="preserve"> </v>
      </c>
      <c r="AJ217" s="378" t="str">
        <f>IF($C$178="Byron 22A",'BYRON 22A'!$D$115," ")</f>
        <v xml:space="preserve"> </v>
      </c>
      <c r="AK217" s="380"/>
      <c r="AL217" s="381"/>
      <c r="AM217" s="380"/>
      <c r="AN217" s="381"/>
      <c r="AO217" s="380"/>
      <c r="AP217" s="381"/>
      <c r="AQ217" s="380"/>
      <c r="AR217" s="381"/>
    </row>
    <row r="218" spans="2:44" ht="18" customHeight="1">
      <c r="B218" s="586"/>
      <c r="C218" s="587"/>
      <c r="D218" s="365">
        <f t="shared" si="7"/>
        <v>0</v>
      </c>
      <c r="E218" s="447"/>
      <c r="F218" s="363">
        <f t="shared" si="8"/>
        <v>0</v>
      </c>
      <c r="Q218" s="382"/>
      <c r="R218" s="483"/>
      <c r="S218" s="382"/>
      <c r="T218" s="382"/>
      <c r="U218" s="382"/>
      <c r="V218" s="382"/>
      <c r="W218" s="382"/>
      <c r="X218" s="382"/>
      <c r="Y218" s="382"/>
      <c r="Z218" s="382"/>
      <c r="AA218" s="382"/>
      <c r="AB218" s="382"/>
      <c r="AC218" s="382"/>
      <c r="AD218" s="382"/>
      <c r="AE218" s="382"/>
      <c r="AF218" s="382"/>
      <c r="AG218" s="501" t="str">
        <f>IF($C$178="Byron 22A",'BYRON 22A'!$C$96," ")</f>
        <v xml:space="preserve"> </v>
      </c>
      <c r="AH218" s="378" t="str">
        <f>IF($C$178="Byron 22A",'BYRON 22A'!$D$96," ")</f>
        <v xml:space="preserve"> </v>
      </c>
      <c r="AI218" s="501" t="str">
        <f>IF($C$178="Byron 22A",'BYRON 22A'!$C$116," ")</f>
        <v xml:space="preserve"> </v>
      </c>
      <c r="AJ218" s="378" t="str">
        <f>IF($C$178="Byron 22A",'BYRON 22A'!$D$116," ")</f>
        <v xml:space="preserve"> </v>
      </c>
      <c r="AK218" s="380"/>
      <c r="AL218" s="381"/>
      <c r="AM218" s="380"/>
      <c r="AN218" s="381"/>
      <c r="AO218" s="380"/>
      <c r="AP218" s="381"/>
      <c r="AQ218" s="380"/>
      <c r="AR218" s="381"/>
    </row>
    <row r="219" spans="2:44" ht="18" customHeight="1">
      <c r="B219" s="586"/>
      <c r="C219" s="587"/>
      <c r="D219" s="365">
        <f t="shared" si="7"/>
        <v>0</v>
      </c>
      <c r="E219" s="447"/>
      <c r="F219" s="363">
        <f t="shared" si="8"/>
        <v>0</v>
      </c>
      <c r="Q219" s="382"/>
      <c r="R219" s="483"/>
      <c r="S219" s="382"/>
      <c r="T219" s="382"/>
      <c r="U219" s="382"/>
      <c r="V219" s="382"/>
      <c r="W219" s="382"/>
      <c r="X219" s="382"/>
      <c r="Y219" s="382"/>
      <c r="Z219" s="382"/>
      <c r="AA219" s="382"/>
      <c r="AB219" s="382"/>
      <c r="AC219" s="382"/>
      <c r="AD219" s="382"/>
      <c r="AE219" s="382"/>
      <c r="AF219" s="382"/>
      <c r="AG219" s="501" t="str">
        <f>IF($C$178="Byron 22A",'BYRON 22A'!$C$97," ")</f>
        <v xml:space="preserve"> </v>
      </c>
      <c r="AH219" s="378" t="str">
        <f>IF($C$178="Byron 22A",'BYRON 22A'!$D$97," ")</f>
        <v xml:space="preserve"> </v>
      </c>
      <c r="AI219" s="501" t="str">
        <f>IF($C$178="Byron 22A",'BYRON 22A'!$C$117," ")</f>
        <v xml:space="preserve"> </v>
      </c>
      <c r="AJ219" s="378" t="str">
        <f>IF($C$178="Byron 22A",'BYRON 22A'!$D$117," ")</f>
        <v xml:space="preserve"> </v>
      </c>
      <c r="AK219" s="380"/>
      <c r="AL219" s="381"/>
      <c r="AM219" s="380"/>
      <c r="AN219" s="381"/>
      <c r="AO219" s="380"/>
      <c r="AP219" s="381"/>
      <c r="AQ219" s="380"/>
      <c r="AR219" s="381"/>
    </row>
    <row r="220" spans="2:44" ht="18" customHeight="1">
      <c r="B220" s="586"/>
      <c r="C220" s="587"/>
      <c r="D220" s="365">
        <f t="shared" si="7"/>
        <v>0</v>
      </c>
      <c r="E220" s="447"/>
      <c r="F220" s="363">
        <f t="shared" si="8"/>
        <v>0</v>
      </c>
      <c r="Q220" s="382"/>
      <c r="R220" s="483"/>
      <c r="S220" s="382"/>
      <c r="T220" s="382"/>
      <c r="U220" s="382"/>
      <c r="V220" s="382"/>
      <c r="W220" s="382"/>
      <c r="X220" s="382"/>
      <c r="Y220" s="382"/>
      <c r="Z220" s="382"/>
      <c r="AA220" s="382"/>
      <c r="AB220" s="382"/>
      <c r="AC220" s="382"/>
      <c r="AD220" s="382"/>
      <c r="AE220" s="382"/>
      <c r="AF220" s="382"/>
      <c r="AG220" s="501" t="str">
        <f>IF($C$178="Byron 22A",'BYRON 22A'!$C$98," ")</f>
        <v xml:space="preserve"> </v>
      </c>
      <c r="AH220" s="378" t="str">
        <f>IF($C$178="Byron 22A",'BYRON 22A'!$D$98," ")</f>
        <v xml:space="preserve"> </v>
      </c>
      <c r="AI220" s="501" t="str">
        <f>IF($C$178="Byron 22A",'BYRON 22A'!$C$118," ")</f>
        <v xml:space="preserve"> </v>
      </c>
      <c r="AJ220" s="378" t="str">
        <f>IF($C$178="Byron 22A",'BYRON 22A'!$D$118," ")</f>
        <v xml:space="preserve"> </v>
      </c>
      <c r="AK220" s="380"/>
      <c r="AL220" s="381"/>
      <c r="AM220" s="380"/>
      <c r="AN220" s="381"/>
      <c r="AO220" s="380"/>
      <c r="AP220" s="381"/>
      <c r="AQ220" s="380"/>
      <c r="AR220" s="381"/>
    </row>
    <row r="221" spans="2:44" ht="18" customHeight="1">
      <c r="B221" s="586"/>
      <c r="C221" s="587"/>
      <c r="D221" s="365">
        <f t="shared" si="7"/>
        <v>0</v>
      </c>
      <c r="E221" s="447"/>
      <c r="F221" s="363">
        <f t="shared" si="8"/>
        <v>0</v>
      </c>
      <c r="Q221" s="382"/>
      <c r="R221" s="483"/>
      <c r="S221" s="382"/>
      <c r="T221" s="382"/>
      <c r="U221" s="382"/>
      <c r="V221" s="382"/>
      <c r="W221" s="382"/>
      <c r="X221" s="382"/>
      <c r="Y221" s="382"/>
      <c r="Z221" s="382"/>
      <c r="AA221" s="382"/>
      <c r="AB221" s="382"/>
      <c r="AC221" s="382"/>
      <c r="AD221" s="382"/>
      <c r="AE221" s="382"/>
      <c r="AF221" s="382"/>
      <c r="AH221" s="382"/>
      <c r="AI221" s="501" t="str">
        <f>IF($C$178="Byron 22A",'BYRON 22A'!$C$119," ")</f>
        <v xml:space="preserve"> </v>
      </c>
      <c r="AJ221" s="378" t="str">
        <f>IF($C$178="Byron 22A",'BYRON 22A'!$D$119," ")</f>
        <v xml:space="preserve"> </v>
      </c>
      <c r="AK221" s="380"/>
      <c r="AL221" s="381"/>
      <c r="AM221" s="380"/>
      <c r="AN221" s="381"/>
      <c r="AO221" s="380"/>
      <c r="AP221" s="381"/>
      <c r="AQ221" s="380"/>
      <c r="AR221" s="381"/>
    </row>
    <row r="222" spans="2:44" ht="18" customHeight="1">
      <c r="B222" s="586"/>
      <c r="C222" s="587"/>
      <c r="D222" s="365">
        <f t="shared" si="7"/>
        <v>0</v>
      </c>
      <c r="E222" s="447"/>
      <c r="F222" s="363">
        <f t="shared" si="8"/>
        <v>0</v>
      </c>
      <c r="Q222" s="382"/>
      <c r="R222" s="483"/>
      <c r="S222" s="382"/>
      <c r="T222" s="382"/>
      <c r="U222" s="382"/>
      <c r="V222" s="382"/>
      <c r="W222" s="382"/>
      <c r="X222" s="382"/>
      <c r="Y222" s="382"/>
      <c r="Z222" s="382"/>
      <c r="AA222" s="382"/>
      <c r="AB222" s="382"/>
      <c r="AC222" s="382"/>
      <c r="AD222" s="382"/>
      <c r="AE222" s="382"/>
      <c r="AF222" s="382"/>
      <c r="AG222" s="398"/>
      <c r="AH222" s="382"/>
      <c r="AI222" s="501" t="str">
        <f>IF($C$178="Byron 22A",'BYRON 22A'!$C$120," ")</f>
        <v xml:space="preserve"> </v>
      </c>
      <c r="AJ222" s="378" t="str">
        <f>IF($C$178="Byron 22A",'BYRON 22A'!$D$120," ")</f>
        <v xml:space="preserve"> </v>
      </c>
      <c r="AK222" s="380"/>
      <c r="AL222" s="381"/>
      <c r="AM222" s="380"/>
      <c r="AN222" s="381"/>
      <c r="AO222" s="380"/>
      <c r="AP222" s="381"/>
      <c r="AQ222" s="380"/>
      <c r="AR222" s="381"/>
    </row>
    <row r="223" spans="2:44" ht="18" customHeight="1">
      <c r="B223" s="586"/>
      <c r="C223" s="587"/>
      <c r="D223" s="365">
        <f t="shared" si="7"/>
        <v>0</v>
      </c>
      <c r="E223" s="447"/>
      <c r="F223" s="363">
        <f t="shared" si="8"/>
        <v>0</v>
      </c>
      <c r="Q223" s="382"/>
      <c r="R223" s="483"/>
      <c r="S223" s="382"/>
      <c r="T223" s="382"/>
      <c r="U223" s="382"/>
      <c r="V223" s="382"/>
      <c r="W223" s="382"/>
      <c r="X223" s="382"/>
      <c r="Y223" s="382"/>
      <c r="Z223" s="382"/>
      <c r="AA223" s="382"/>
      <c r="AB223" s="382"/>
      <c r="AC223" s="382"/>
      <c r="AD223" s="382"/>
      <c r="AE223" s="382"/>
      <c r="AF223" s="382"/>
      <c r="AG223" s="398"/>
      <c r="AH223" s="382"/>
      <c r="AI223" s="501" t="str">
        <f>IF($C$178="Byron 22A",'BYRON 22A'!$C$121," ")</f>
        <v xml:space="preserve"> </v>
      </c>
      <c r="AJ223" s="378" t="str">
        <f>IF($C$178="Byron 22A",'BYRON 22A'!$D$121," ")</f>
        <v xml:space="preserve"> </v>
      </c>
      <c r="AK223" s="380"/>
      <c r="AL223" s="381"/>
      <c r="AM223" s="380"/>
      <c r="AN223" s="381"/>
      <c r="AO223" s="380"/>
      <c r="AP223" s="381"/>
      <c r="AQ223" s="380"/>
      <c r="AR223" s="381"/>
    </row>
    <row r="224" spans="2:44" s="390" customFormat="1" ht="18" customHeight="1">
      <c r="B224" s="605" t="s">
        <v>1135</v>
      </c>
      <c r="C224" s="606"/>
      <c r="D224" s="606"/>
      <c r="E224" s="606"/>
      <c r="F224" s="607"/>
      <c r="Q224" s="382"/>
      <c r="R224" s="483"/>
      <c r="S224" s="382"/>
      <c r="T224" s="382"/>
      <c r="U224" s="382"/>
      <c r="V224" s="382"/>
      <c r="W224" s="382"/>
      <c r="X224" s="382"/>
      <c r="Y224" s="382"/>
      <c r="Z224" s="382"/>
      <c r="AA224" s="382"/>
      <c r="AB224" s="382"/>
      <c r="AC224" s="382"/>
      <c r="AD224" s="382"/>
      <c r="AE224" s="382"/>
      <c r="AF224" s="382"/>
      <c r="AG224" s="398"/>
      <c r="AH224" s="382"/>
      <c r="AI224" s="501" t="str">
        <f>IF($C$178="Byron 22A",'BYRON 22A'!$C$122," ")</f>
        <v xml:space="preserve"> </v>
      </c>
      <c r="AJ224" s="378" t="str">
        <f>IF($C$178="Byron 22A",'BYRON 22A'!$D$122," ")</f>
        <v xml:space="preserve"> </v>
      </c>
      <c r="AK224" s="380"/>
      <c r="AL224" s="381"/>
      <c r="AM224" s="380"/>
      <c r="AN224" s="381"/>
      <c r="AO224" s="380"/>
      <c r="AP224" s="381"/>
      <c r="AQ224" s="380"/>
      <c r="AR224" s="381"/>
    </row>
    <row r="225" spans="1:44" ht="18" customHeight="1">
      <c r="A225" s="390"/>
      <c r="B225" s="588" t="s">
        <v>324</v>
      </c>
      <c r="C225" s="589"/>
      <c r="D225" s="589"/>
      <c r="E225" s="589"/>
      <c r="F225" s="590"/>
      <c r="Q225" s="382"/>
      <c r="R225" s="483"/>
      <c r="S225" s="382"/>
      <c r="T225" s="382"/>
      <c r="U225" s="382"/>
      <c r="V225" s="382"/>
      <c r="W225" s="382"/>
      <c r="X225" s="382"/>
      <c r="Y225" s="382"/>
      <c r="Z225" s="382"/>
      <c r="AA225" s="382"/>
      <c r="AB225" s="382"/>
      <c r="AC225" s="382"/>
      <c r="AD225" s="382"/>
      <c r="AE225" s="382"/>
      <c r="AF225" s="382"/>
      <c r="AG225" s="398"/>
      <c r="AH225" s="382"/>
      <c r="AI225" s="501" t="str">
        <f>IF($C$178="Byron 22A",'BYRON 22A'!$C$123," ")</f>
        <v xml:space="preserve"> </v>
      </c>
      <c r="AJ225" s="378" t="str">
        <f>IF($C$178="Byron 22A",'BYRON 22A'!$D$123," ")</f>
        <v xml:space="preserve"> </v>
      </c>
      <c r="AK225" s="380"/>
      <c r="AL225" s="381"/>
      <c r="AM225" s="380"/>
      <c r="AN225" s="381"/>
      <c r="AO225" s="380"/>
      <c r="AP225" s="381"/>
      <c r="AQ225" s="380"/>
      <c r="AR225" s="381"/>
    </row>
    <row r="226" spans="1:44" ht="18" customHeight="1">
      <c r="A226" s="390"/>
      <c r="B226" s="615"/>
      <c r="C226" s="616"/>
      <c r="D226" s="365">
        <f t="shared" ref="D226:D236" si="9">(_xlfn.XLOOKUP($B226,$U$173:$U$393,$V$173:$V$393))</f>
        <v>0</v>
      </c>
      <c r="E226" s="445"/>
      <c r="F226" s="363">
        <f>IF(D226=" "," ",SUM(E226-D226))</f>
        <v>0</v>
      </c>
      <c r="Q226" s="382"/>
      <c r="R226" s="483"/>
      <c r="S226" s="382"/>
      <c r="T226" s="382"/>
      <c r="U226" s="382"/>
      <c r="V226" s="382"/>
      <c r="W226" s="382"/>
      <c r="X226" s="382"/>
      <c r="Y226" s="382"/>
      <c r="Z226" s="382"/>
      <c r="AA226" s="382"/>
      <c r="AB226" s="382"/>
      <c r="AC226" s="382"/>
      <c r="AD226" s="382"/>
      <c r="AE226" s="382"/>
      <c r="AF226" s="382"/>
      <c r="AG226" s="398"/>
      <c r="AH226" s="382"/>
      <c r="AI226" s="501" t="str">
        <f>IF($C$178="Byron 22A",'BYRON 22A'!$C$124," ")</f>
        <v xml:space="preserve"> </v>
      </c>
      <c r="AJ226" s="378" t="str">
        <f>IF($C$178="Byron 22A",'BYRON 22A'!$D$124," ")</f>
        <v xml:space="preserve"> </v>
      </c>
      <c r="AK226" s="382"/>
      <c r="AL226" s="382"/>
      <c r="AM226" s="382"/>
      <c r="AN226" s="382"/>
      <c r="AO226" s="382"/>
      <c r="AP226" s="382"/>
      <c r="AQ226" s="382"/>
      <c r="AR226" s="382"/>
    </row>
    <row r="227" spans="1:44" ht="18" customHeight="1">
      <c r="A227" s="390"/>
      <c r="B227" s="615"/>
      <c r="C227" s="616"/>
      <c r="D227" s="365">
        <f t="shared" si="9"/>
        <v>0</v>
      </c>
      <c r="E227" s="445"/>
      <c r="F227" s="363">
        <f t="shared" ref="F227:F236" si="10">IF(D227=" "," ",SUM(E227-D227))</f>
        <v>0</v>
      </c>
      <c r="Q227" s="382"/>
      <c r="R227" s="483"/>
      <c r="S227" s="382"/>
      <c r="T227" s="382"/>
      <c r="U227" s="382"/>
      <c r="V227" s="382"/>
      <c r="W227" s="382"/>
      <c r="X227" s="382"/>
      <c r="Y227" s="382"/>
      <c r="Z227" s="382"/>
      <c r="AA227" s="382"/>
      <c r="AB227" s="382"/>
      <c r="AC227" s="382"/>
      <c r="AD227" s="382"/>
      <c r="AE227" s="382"/>
      <c r="AF227" s="382"/>
      <c r="AG227" s="398"/>
      <c r="AH227" s="382"/>
      <c r="AI227" s="501" t="str">
        <f>IF($C$178="Byron 22A",'BYRON 22A'!$C$125," ")</f>
        <v xml:space="preserve"> </v>
      </c>
      <c r="AJ227" s="378" t="str">
        <f>IF($C$178="Byron 22A",'BYRON 22A'!$D$125," ")</f>
        <v xml:space="preserve"> </v>
      </c>
      <c r="AK227" s="382"/>
      <c r="AL227" s="382"/>
      <c r="AM227" s="382"/>
      <c r="AN227" s="382"/>
      <c r="AO227" s="382"/>
      <c r="AP227" s="382"/>
      <c r="AQ227" s="382"/>
      <c r="AR227" s="382"/>
    </row>
    <row r="228" spans="1:44" ht="18" customHeight="1">
      <c r="A228" s="390"/>
      <c r="B228" s="615"/>
      <c r="C228" s="616"/>
      <c r="D228" s="365">
        <f t="shared" si="9"/>
        <v>0</v>
      </c>
      <c r="E228" s="445"/>
      <c r="F228" s="363">
        <f t="shared" si="10"/>
        <v>0</v>
      </c>
      <c r="Q228" s="374" t="str">
        <f>IF($C$178="Byron 22B",'BYRON 22B'!$C$4," ")</f>
        <v xml:space="preserve"> </v>
      </c>
      <c r="R228" s="375" t="str">
        <f>IF($C$178="Byron 22B",'BYRON 22B'!$D$4," ")</f>
        <v xml:space="preserve"> </v>
      </c>
      <c r="S228" s="374" t="str">
        <f>IF($C$178="Byron 22B",'BYRON 22B'!$C$18," ")</f>
        <v xml:space="preserve"> </v>
      </c>
      <c r="T228" s="375" t="str">
        <f>IF($C$178="Byron 22B",'BYRON 22B'!$D$18," ")</f>
        <v xml:space="preserve"> </v>
      </c>
      <c r="U228" s="374" t="str">
        <f>IF($C$178="Byron 22B",'BYRON 22B'!$C$30," ")</f>
        <v xml:space="preserve"> </v>
      </c>
      <c r="V228" s="375" t="str">
        <f>IF($C$178="Byron 22B",'BYRON 22B'!$D$30," ")</f>
        <v xml:space="preserve"> </v>
      </c>
      <c r="W228" s="374" t="str">
        <f>IF($C$178="Byron 22B",'BYRON 22B'!$C$43," ")</f>
        <v xml:space="preserve"> </v>
      </c>
      <c r="X228" s="375" t="str">
        <f>IF($C$178="Byron 22B",'BYRON 22B'!$D$43," ")</f>
        <v xml:space="preserve"> </v>
      </c>
      <c r="Y228" s="374" t="str">
        <f>IF($C$178="Byron 22B",'BYRON 22B'!$C$53," ")</f>
        <v xml:space="preserve"> </v>
      </c>
      <c r="Z228" s="375" t="str">
        <f>IF($C$178="Byron 22B",'BYRON 22B'!$D$53," ")</f>
        <v xml:space="preserve"> </v>
      </c>
      <c r="AA228" s="374" t="str">
        <f>IF($C$178="Byron 22B",'BYRON 22B'!$C$61," ")</f>
        <v xml:space="preserve"> </v>
      </c>
      <c r="AB228" s="375" t="str">
        <f>IF($C$178="Byron 22B",'BYRON 22B'!$D$61," ")</f>
        <v xml:space="preserve"> </v>
      </c>
      <c r="AC228" s="374" t="str">
        <f>IF($C$178="Byron 22B",'BYRON 22B'!$C$67," ")</f>
        <v xml:space="preserve"> </v>
      </c>
      <c r="AD228" s="375" t="str">
        <f>IF($C$178="Byron 22B",'BYRON 22B'!$D$67," ")</f>
        <v xml:space="preserve"> </v>
      </c>
      <c r="AE228" s="374" t="str">
        <f>IF($C$178="Byron 22B",'BYRON 22B'!$C$76," ")</f>
        <v xml:space="preserve"> </v>
      </c>
      <c r="AF228" s="375" t="str">
        <f>IF($C$178="Byron 22B",'BYRON 22B'!$D$76," ")</f>
        <v xml:space="preserve"> </v>
      </c>
      <c r="AG228" s="500" t="str">
        <f>IF($C$178="Byron 22B",'BYRON 22B'!$C$81," ")</f>
        <v xml:space="preserve"> </v>
      </c>
      <c r="AH228" s="375" t="str">
        <f>IF($C$178="Byron 22B",'BYRON 22B'!$D$81," ")</f>
        <v xml:space="preserve"> </v>
      </c>
      <c r="AI228" s="500" t="str">
        <f>IF($C$178="Byron 22B",'BYRON 22B'!$C$101," ")</f>
        <v xml:space="preserve"> </v>
      </c>
      <c r="AJ228" s="375" t="str">
        <f>IF($C$178="Byron 22B",'BYRON 22B'!$D$101," ")</f>
        <v xml:space="preserve"> </v>
      </c>
      <c r="AK228" s="374" t="str">
        <f>IF($C$178="Byron 22B",'BYRON 22B'!$C$128," ")</f>
        <v xml:space="preserve"> </v>
      </c>
      <c r="AL228" s="375" t="str">
        <f>IF($C$178="Byron 22B",'BYRON 22B'!$D$128," ")</f>
        <v xml:space="preserve"> </v>
      </c>
      <c r="AM228" s="374" t="str">
        <f>IF($C$178="Byron 22B",'BYRON 22B'!$C$137," ")</f>
        <v xml:space="preserve"> </v>
      </c>
      <c r="AN228" s="375" t="str">
        <f>IF($C$178="Byron 22B",'BYRON 22B'!$D$137," ")</f>
        <v xml:space="preserve"> </v>
      </c>
      <c r="AO228" s="374" t="str">
        <f>IF($C$178="Byron 22B",'BYRON 22B'!$C$151," ")</f>
        <v xml:space="preserve"> </v>
      </c>
      <c r="AP228" s="375" t="str">
        <f>IF($C$178="Byron 22B",'BYRON 22B'!$D$151," ")</f>
        <v xml:space="preserve"> </v>
      </c>
      <c r="AQ228" s="374" t="str">
        <f>IF($C$178="Byron 22B",'BYRON 22B'!$C$158," ")</f>
        <v xml:space="preserve"> </v>
      </c>
      <c r="AR228" s="375" t="str">
        <f>IF($C$178="Byron 22B",'BYRON 22B'!$D$158," ")</f>
        <v xml:space="preserve"> </v>
      </c>
    </row>
    <row r="229" spans="1:44" ht="18" customHeight="1">
      <c r="A229" s="390"/>
      <c r="B229" s="615"/>
      <c r="C229" s="616"/>
      <c r="D229" s="365">
        <f t="shared" si="9"/>
        <v>0</v>
      </c>
      <c r="E229" s="445"/>
      <c r="F229" s="363">
        <f t="shared" si="10"/>
        <v>0</v>
      </c>
      <c r="Q229" s="377" t="str">
        <f>IF($C$178="Byron 22B",'BYRON 22B'!$C$5," ")</f>
        <v xml:space="preserve"> </v>
      </c>
      <c r="R229" s="378" t="str">
        <f>IF($C$178="Byron 22B",'BYRON 22B'!$D$5," ")</f>
        <v xml:space="preserve"> </v>
      </c>
      <c r="S229" s="377" t="str">
        <f>IF($C$178="Byron 22B",'BYRON 22B'!$C$19," ")</f>
        <v xml:space="preserve"> </v>
      </c>
      <c r="T229" s="378" t="str">
        <f>IF($C$178="Byron 22B",'BYRON 22B'!$D$19," ")</f>
        <v xml:space="preserve"> </v>
      </c>
      <c r="U229" s="377" t="str">
        <f>IF($C$178="Byron 22B",'BYRON 22B'!$C$31," ")</f>
        <v xml:space="preserve"> </v>
      </c>
      <c r="V229" s="378" t="str">
        <f>IF($C$178="Byron 22B",'BYRON 22B'!$D$31," ")</f>
        <v xml:space="preserve"> </v>
      </c>
      <c r="W229" s="377" t="str">
        <f>IF($C$178="Byron 22B",'BYRON 22B'!$C$44," ")</f>
        <v xml:space="preserve"> </v>
      </c>
      <c r="X229" s="378" t="str">
        <f>IF($C$178="Byron 22B",'BYRON 22B'!$D$44," ")</f>
        <v xml:space="preserve"> </v>
      </c>
      <c r="Y229" s="377" t="str">
        <f>IF($C$178="Byron 22B",'BYRON 22B'!$C$54," ")</f>
        <v xml:space="preserve"> </v>
      </c>
      <c r="Z229" s="378" t="str">
        <f>IF($C$178="Byron 22B",'BYRON 22B'!$D$54," ")</f>
        <v xml:space="preserve"> </v>
      </c>
      <c r="AA229" s="377" t="str">
        <f>IF($C$178="Byron 22B",'BYRON 22B'!$C$62," ")</f>
        <v xml:space="preserve"> </v>
      </c>
      <c r="AB229" s="378" t="str">
        <f>IF($C$178="Byron 22B",'BYRON 22B'!$D$62," ")</f>
        <v xml:space="preserve"> </v>
      </c>
      <c r="AC229" s="377" t="str">
        <f>IF($C$178="Byron 22B",'BYRON 22B'!$C$68," ")</f>
        <v xml:space="preserve"> </v>
      </c>
      <c r="AD229" s="378" t="str">
        <f>IF($C$178="Byron 22B",'BYRON 22B'!$D$68," ")</f>
        <v xml:space="preserve"> </v>
      </c>
      <c r="AE229" s="377" t="str">
        <f>IF($C$178="Byron 22B",'BYRON 22B'!$C$77," ")</f>
        <v xml:space="preserve"> </v>
      </c>
      <c r="AF229" s="378" t="str">
        <f>IF($C$178="Byron 22B",'BYRON 22B'!$D$77," ")</f>
        <v xml:space="preserve"> </v>
      </c>
      <c r="AG229" s="501" t="str">
        <f>IF($C$178="Byron 22B",'BYRON 22B'!$C$82," ")</f>
        <v xml:space="preserve"> </v>
      </c>
      <c r="AH229" s="378" t="str">
        <f>IF($C$178="Byron 22B",'BYRON 22B'!$D$82," ")</f>
        <v xml:space="preserve"> </v>
      </c>
      <c r="AI229" s="501" t="str">
        <f>IF($C$178="Byron 22B",'BYRON 22B'!$C$102," ")</f>
        <v xml:space="preserve"> </v>
      </c>
      <c r="AJ229" s="378" t="str">
        <f>IF($C$178="Byron 22B",'BYRON 22B'!$D$102," ")</f>
        <v xml:space="preserve"> </v>
      </c>
      <c r="AK229" s="377" t="str">
        <f>IF($C$178="Byron 22B",'BYRON 22B'!$C$129," ")</f>
        <v xml:space="preserve"> </v>
      </c>
      <c r="AL229" s="378" t="str">
        <f>IF($C$178="Byron 22B",'BYRON 22B'!$D$129," ")</f>
        <v xml:space="preserve"> </v>
      </c>
      <c r="AM229" s="377" t="str">
        <f>IF($C$178="Byron 22B",'BYRON 22B'!$C$138," ")</f>
        <v xml:space="preserve"> </v>
      </c>
      <c r="AN229" s="378" t="str">
        <f>IF($C$178="Byron 22B",'BYRON 22B'!$D$138," ")</f>
        <v xml:space="preserve"> </v>
      </c>
      <c r="AO229" s="377" t="str">
        <f>IF($C$178="Byron 22B",'BYRON 22B'!$C$152," ")</f>
        <v xml:space="preserve"> </v>
      </c>
      <c r="AP229" s="378" t="str">
        <f>IF($C$178="Byron 22B",'BYRON 22B'!$D$152," ")</f>
        <v xml:space="preserve"> </v>
      </c>
      <c r="AQ229" s="377" t="str">
        <f>IF($C$178="Byron 22B",'BYRON 22B'!$C$159," ")</f>
        <v xml:space="preserve"> </v>
      </c>
      <c r="AR229" s="378" t="str">
        <f>IF($C$178="Byron 22B",'BYRON 22B'!$D$159," ")</f>
        <v xml:space="preserve"> </v>
      </c>
    </row>
    <row r="230" spans="1:44" ht="18" customHeight="1">
      <c r="A230" s="390"/>
      <c r="B230" s="615"/>
      <c r="C230" s="616"/>
      <c r="D230" s="365">
        <f t="shared" si="9"/>
        <v>0</v>
      </c>
      <c r="E230" s="445"/>
      <c r="F230" s="363">
        <f t="shared" si="10"/>
        <v>0</v>
      </c>
      <c r="Q230" s="377" t="str">
        <f>IF($C$178="Byron 22B",'BYRON 22B'!$C$6," ")</f>
        <v xml:space="preserve"> </v>
      </c>
      <c r="R230" s="378" t="str">
        <f>IF($C$178="Byron 22B",'BYRON 22B'!$D$6," ")</f>
        <v xml:space="preserve"> </v>
      </c>
      <c r="S230" s="377" t="str">
        <f>IF($C$178="Byron 22B",'BYRON 22B'!$C$20," ")</f>
        <v xml:space="preserve"> </v>
      </c>
      <c r="T230" s="378" t="str">
        <f>IF($C$178="Byron 22B",'BYRON 22B'!$D$20," ")</f>
        <v xml:space="preserve"> </v>
      </c>
      <c r="U230" s="377" t="str">
        <f>IF($C$178="Byron 22B",'BYRON 22B'!$C$32," ")</f>
        <v xml:space="preserve"> </v>
      </c>
      <c r="V230" s="378" t="str">
        <f>IF($C$178="Byron 22B",'BYRON 22B'!$D$32," ")</f>
        <v xml:space="preserve"> </v>
      </c>
      <c r="W230" s="377" t="str">
        <f>IF($C$178="Byron 22B",'BYRON 22B'!$C$45," ")</f>
        <v xml:space="preserve"> </v>
      </c>
      <c r="X230" s="378" t="str">
        <f>IF($C$178="Byron 22B",'BYRON 22B'!$D$45," ")</f>
        <v xml:space="preserve"> </v>
      </c>
      <c r="Y230" s="377" t="str">
        <f>IF($C$178="Byron 22B",'BYRON 22B'!$C$55," ")</f>
        <v xml:space="preserve"> </v>
      </c>
      <c r="Z230" s="378" t="str">
        <f>IF($C$178="Byron 22B",'BYRON 22B'!$D$55," ")</f>
        <v xml:space="preserve"> </v>
      </c>
      <c r="AA230" s="377" t="str">
        <f>IF($C$178="Byron 22B",'BYRON 22B'!$C$63," ")</f>
        <v xml:space="preserve"> </v>
      </c>
      <c r="AB230" s="378" t="str">
        <f>IF($C$178="Byron 22B",'BYRON 22B'!$D$63," ")</f>
        <v xml:space="preserve"> </v>
      </c>
      <c r="AC230" s="377" t="str">
        <f>IF($C$178="Byron 22B",'BYRON 22B'!$C$69," ")</f>
        <v xml:space="preserve"> </v>
      </c>
      <c r="AD230" s="378" t="str">
        <f>IF($C$178="Byron 22B",'BYRON 22B'!$D$69," ")</f>
        <v xml:space="preserve"> </v>
      </c>
      <c r="AE230" s="377" t="str">
        <f>IF($C$178="Byron 22B",'BYRON 22B'!$C$78," ")</f>
        <v xml:space="preserve"> </v>
      </c>
      <c r="AF230" s="378" t="str">
        <f>IF($C$178="Byron 22B",'BYRON 22B'!$D$78," ")</f>
        <v xml:space="preserve"> </v>
      </c>
      <c r="AG230" s="501" t="str">
        <f>IF($C$178="Byron 22B",'BYRON 22B'!$C$83," ")</f>
        <v xml:space="preserve"> </v>
      </c>
      <c r="AH230" s="378" t="str">
        <f>IF($C$178="Byron 22B",'BYRON 22B'!$D$83," ")</f>
        <v xml:space="preserve"> </v>
      </c>
      <c r="AI230" s="501" t="str">
        <f>IF($C$178="Byron 22B",'BYRON 22B'!$C$103," ")</f>
        <v xml:space="preserve"> </v>
      </c>
      <c r="AJ230" s="378" t="str">
        <f>IF($C$178="Byron 22B",'BYRON 22B'!$D$103," ")</f>
        <v xml:space="preserve"> </v>
      </c>
      <c r="AK230" s="377" t="str">
        <f>IF($C$178="Byron 22B",'BYRON 22B'!$C$130," ")</f>
        <v xml:space="preserve"> </v>
      </c>
      <c r="AL230" s="378" t="str">
        <f>IF($C$178="Byron 22B",'BYRON 22B'!$D$130," ")</f>
        <v xml:space="preserve"> </v>
      </c>
      <c r="AM230" s="377" t="str">
        <f>IF($C$178="Byron 22B",'BYRON 22B'!$C$139," ")</f>
        <v xml:space="preserve"> </v>
      </c>
      <c r="AN230" s="378" t="str">
        <f>IF($C$178="Byron 22B",'BYRON 22B'!$D$139," ")</f>
        <v xml:space="preserve"> </v>
      </c>
      <c r="AO230" s="377" t="str">
        <f>IF($C$178="Byron 22B",'BYRON 22B'!$C$153," ")</f>
        <v xml:space="preserve"> </v>
      </c>
      <c r="AP230" s="378" t="str">
        <f>IF($C$178="Byron 22B",'BYRON 22B'!$D$153," ")</f>
        <v xml:space="preserve"> </v>
      </c>
      <c r="AQ230" s="377" t="str">
        <f>IF($C$178="Byron 22B",'BYRON 22B'!$C$160," ")</f>
        <v xml:space="preserve"> </v>
      </c>
      <c r="AR230" s="378" t="str">
        <f>IF($C$178="Byron 22B",'BYRON 22B'!$D$160," ")</f>
        <v xml:space="preserve"> </v>
      </c>
    </row>
    <row r="231" spans="1:44" ht="18" customHeight="1">
      <c r="A231" s="390"/>
      <c r="B231" s="615"/>
      <c r="C231" s="616"/>
      <c r="D231" s="365">
        <f t="shared" si="9"/>
        <v>0</v>
      </c>
      <c r="E231" s="445"/>
      <c r="F231" s="363">
        <f t="shared" si="10"/>
        <v>0</v>
      </c>
      <c r="Q231" s="377" t="str">
        <f>IF($C$178="Byron 22B",'BYRON 22B'!$C$7," ")</f>
        <v xml:space="preserve"> </v>
      </c>
      <c r="R231" s="378" t="str">
        <f>IF($C$178="Byron 22B",'BYRON 22B'!$D$7," ")</f>
        <v xml:space="preserve"> </v>
      </c>
      <c r="S231" s="377" t="str">
        <f>IF($C$178="Byron 22B",'BYRON 22B'!$C$21," ")</f>
        <v xml:space="preserve"> </v>
      </c>
      <c r="T231" s="378" t="str">
        <f>IF($C$178="Byron 22B",'BYRON 22B'!$D$21," ")</f>
        <v xml:space="preserve"> </v>
      </c>
      <c r="U231" s="377" t="str">
        <f>IF($C$178="Byron 22B",'BYRON 22B'!$C$33," ")</f>
        <v xml:space="preserve"> </v>
      </c>
      <c r="V231" s="378" t="str">
        <f>IF($C$178="Byron 22B",'BYRON 22B'!$D$33," ")</f>
        <v xml:space="preserve"> </v>
      </c>
      <c r="W231" s="377" t="str">
        <f>IF($C$178="Byron 22B",'BYRON 22B'!$C$46," ")</f>
        <v xml:space="preserve"> </v>
      </c>
      <c r="X231" s="378" t="str">
        <f>IF($C$178="Byron 22B",'BYRON 22B'!$D$46," ")</f>
        <v xml:space="preserve"> </v>
      </c>
      <c r="Y231" s="377" t="str">
        <f>IF($C$178="Byron 22B",'BYRON 22B'!$C$56," ")</f>
        <v xml:space="preserve"> </v>
      </c>
      <c r="Z231" s="378" t="str">
        <f>IF($C$178="Byron 22B",'BYRON 22B'!$D$56," ")</f>
        <v xml:space="preserve"> </v>
      </c>
      <c r="AA231" s="380"/>
      <c r="AB231" s="381"/>
      <c r="AC231" s="377" t="str">
        <f>IF($C$178="Byron 22B",'BYRON 22B'!$C$70," ")</f>
        <v xml:space="preserve"> </v>
      </c>
      <c r="AD231" s="378" t="str">
        <f>IF($C$178="Byron 22B",'BYRON 22B'!$D$70," ")</f>
        <v xml:space="preserve"> </v>
      </c>
      <c r="AE231" s="382"/>
      <c r="AF231" s="382"/>
      <c r="AG231" s="501" t="str">
        <f>IF($C$178="Byron 22B",'BYRON 22B'!$C$84," ")</f>
        <v xml:space="preserve"> </v>
      </c>
      <c r="AH231" s="378" t="str">
        <f>IF($C$178="Byron 22B",'BYRON 22B'!$D$84," ")</f>
        <v xml:space="preserve"> </v>
      </c>
      <c r="AI231" s="501" t="str">
        <f>IF($C$178="Byron 22B",'BYRON 22B'!$C$104," ")</f>
        <v xml:space="preserve"> </v>
      </c>
      <c r="AJ231" s="378" t="str">
        <f>IF($C$178="Byron 22B",'BYRON 22B'!$D$104," ")</f>
        <v xml:space="preserve"> </v>
      </c>
      <c r="AK231" s="377" t="str">
        <f>IF($C$178="Byron 22B",'BYRON 22B'!$C$131," ")</f>
        <v xml:space="preserve"> </v>
      </c>
      <c r="AL231" s="378" t="str">
        <f>IF($C$178="Byron 22B",'BYRON 22B'!$D$131," ")</f>
        <v xml:space="preserve"> </v>
      </c>
      <c r="AM231" s="377" t="str">
        <f>IF($C$178="Byron 22B",'BYRON 22B'!$C$140," ")</f>
        <v xml:space="preserve"> </v>
      </c>
      <c r="AN231" s="378" t="str">
        <f>IF($C$178="Byron 22B",'BYRON 22B'!$D$140," ")</f>
        <v xml:space="preserve"> </v>
      </c>
      <c r="AO231" s="377" t="str">
        <f>IF($C$178="Byron 22B",'BYRON 22B'!$C$154," ")</f>
        <v xml:space="preserve"> </v>
      </c>
      <c r="AP231" s="378" t="str">
        <f>IF($C$178="Byron 22B",'BYRON 22B'!$D$154," ")</f>
        <v xml:space="preserve"> </v>
      </c>
      <c r="AQ231" s="377" t="str">
        <f>IF($C$178="Byron 22B",'BYRON 22B'!$C$161," ")</f>
        <v xml:space="preserve"> </v>
      </c>
      <c r="AR231" s="378" t="str">
        <f>IF($C$178="Byron 22B",'BYRON 22B'!$D$161," ")</f>
        <v xml:space="preserve"> </v>
      </c>
    </row>
    <row r="232" spans="1:44" ht="18" customHeight="1">
      <c r="A232" s="390"/>
      <c r="B232" s="615"/>
      <c r="C232" s="616"/>
      <c r="D232" s="365">
        <f t="shared" si="9"/>
        <v>0</v>
      </c>
      <c r="E232" s="445"/>
      <c r="F232" s="363">
        <f t="shared" si="10"/>
        <v>0</v>
      </c>
      <c r="Q232" s="377" t="str">
        <f>IF($C$178="Byron 22B",'BYRON 22B'!$C$8," ")</f>
        <v xml:space="preserve"> </v>
      </c>
      <c r="R232" s="378" t="str">
        <f>IF($C$178="Byron 22B",'BYRON 22B'!$D$8," ")</f>
        <v xml:space="preserve"> </v>
      </c>
      <c r="S232" s="377" t="str">
        <f>IF($C$178="Byron 22B",'BYRON 22B'!$C$22," ")</f>
        <v xml:space="preserve"> </v>
      </c>
      <c r="T232" s="378" t="str">
        <f>IF($C$178="Byron 22B",'BYRON 22B'!$D$22," ")</f>
        <v xml:space="preserve"> </v>
      </c>
      <c r="U232" s="377" t="str">
        <f>IF($C$178="Byron 22B",'BYRON 22B'!$C$34," ")</f>
        <v xml:space="preserve"> </v>
      </c>
      <c r="V232" s="378" t="str">
        <f>IF($C$178="Byron 22B",'BYRON 22B'!$D$34," ")</f>
        <v xml:space="preserve"> </v>
      </c>
      <c r="W232" s="377" t="str">
        <f>IF($C$178="Byron 22B",'BYRON 22B'!$C$47," ")</f>
        <v xml:space="preserve"> </v>
      </c>
      <c r="X232" s="378" t="str">
        <f>IF($C$178="Byron 22B",'BYRON 22B'!$D$47," ")</f>
        <v xml:space="preserve"> </v>
      </c>
      <c r="Y232" s="377" t="str">
        <f>IF($C$178="Byron 22B",'BYRON 22B'!$C$57," ")</f>
        <v xml:space="preserve"> </v>
      </c>
      <c r="Z232" s="378" t="str">
        <f>IF($C$178="Byron 22B",'BYRON 22B'!$D$57," ")</f>
        <v xml:space="preserve"> </v>
      </c>
      <c r="AA232" s="380"/>
      <c r="AB232" s="381"/>
      <c r="AC232" s="377" t="str">
        <f>IF($C$178="Byron 22B",'BYRON 22B'!$C$71," ")</f>
        <v xml:space="preserve"> </v>
      </c>
      <c r="AD232" s="378" t="str">
        <f>IF($C$178="Byron 22B",'BYRON 22B'!$D$71," ")</f>
        <v xml:space="preserve"> </v>
      </c>
      <c r="AE232" s="382"/>
      <c r="AF232" s="382"/>
      <c r="AG232" s="501" t="str">
        <f>IF($C$178="Byron 22B",'BYRON 22B'!$C$85," ")</f>
        <v xml:space="preserve"> </v>
      </c>
      <c r="AH232" s="378" t="str">
        <f>IF($C$178="Byron 22B",'BYRON 22B'!$D$85," ")</f>
        <v xml:space="preserve"> </v>
      </c>
      <c r="AI232" s="501" t="str">
        <f>IF($C$178="Byron 22B",'BYRON 22B'!$C$105," ")</f>
        <v xml:space="preserve"> </v>
      </c>
      <c r="AJ232" s="378" t="str">
        <f>IF($C$178="Byron 22B",'BYRON 22B'!$D$105," ")</f>
        <v xml:space="preserve"> </v>
      </c>
      <c r="AK232" s="377" t="str">
        <f>IF($C$178="Byron 22B",'BYRON 22B'!$C$132," ")</f>
        <v xml:space="preserve"> </v>
      </c>
      <c r="AL232" s="378" t="str">
        <f>IF($C$178="Byron 22B",'BYRON 22B'!$D$132," ")</f>
        <v xml:space="preserve"> </v>
      </c>
      <c r="AM232" s="377" t="str">
        <f>IF($C$178="Byron 22B",'BYRON 22B'!$C$141," ")</f>
        <v xml:space="preserve"> </v>
      </c>
      <c r="AN232" s="378" t="str">
        <f>IF($C$178="Byron 22B",'BYRON 22B'!$D$141," ")</f>
        <v xml:space="preserve"> </v>
      </c>
      <c r="AO232" s="377" t="str">
        <f>IF($C$178="Byron 22B",'BYRON 22B'!$C$155," ")</f>
        <v xml:space="preserve"> </v>
      </c>
      <c r="AP232" s="378" t="str">
        <f>IF($C$178="Byron 22B",'BYRON 22B'!$D$155," ")</f>
        <v xml:space="preserve"> </v>
      </c>
      <c r="AQ232" s="377" t="str">
        <f>IF($C$178="Byron 22B",'BYRON 22B'!$C$162," ")</f>
        <v xml:space="preserve"> </v>
      </c>
      <c r="AR232" s="378" t="str">
        <f>IF($C$178="Byron 22B",'BYRON 22B'!$D$162," ")</f>
        <v xml:space="preserve"> </v>
      </c>
    </row>
    <row r="233" spans="1:44" ht="18" customHeight="1">
      <c r="A233" s="390"/>
      <c r="B233" s="615"/>
      <c r="C233" s="616"/>
      <c r="D233" s="365">
        <f t="shared" si="9"/>
        <v>0</v>
      </c>
      <c r="E233" s="445"/>
      <c r="F233" s="363">
        <f t="shared" si="10"/>
        <v>0</v>
      </c>
      <c r="Q233" s="377" t="str">
        <f>IF($C$178="Byron 22B",'BYRON 22B'!$C$9," ")</f>
        <v xml:space="preserve"> </v>
      </c>
      <c r="R233" s="378" t="str">
        <f>IF($C$178="Byron 22B",'BYRON 22B'!$D$9," ")</f>
        <v xml:space="preserve"> </v>
      </c>
      <c r="S233" s="377" t="str">
        <f>IF($C$178="Byron 22B",'BYRON 22B'!$C$23," ")</f>
        <v xml:space="preserve"> </v>
      </c>
      <c r="T233" s="378" t="str">
        <f>IF($C$178="Byron 22B",'BYRON 22B'!$D$23," ")</f>
        <v xml:space="preserve"> </v>
      </c>
      <c r="U233" s="377" t="str">
        <f>IF($C$178="Byron 22B",'BYRON 22B'!$C$35," ")</f>
        <v xml:space="preserve"> </v>
      </c>
      <c r="V233" s="378" t="str">
        <f>IF($C$178="Byron 22B",'BYRON 22B'!$D$35," ")</f>
        <v xml:space="preserve"> </v>
      </c>
      <c r="W233" s="377" t="str">
        <f>IF($C$178="Byron 22B",'BYRON 22B'!$C$48," ")</f>
        <v xml:space="preserve"> </v>
      </c>
      <c r="X233" s="378" t="str">
        <f>IF($C$178="Byron 22B",'BYRON 22B'!$D$48," ")</f>
        <v xml:space="preserve"> </v>
      </c>
      <c r="Y233" s="377" t="str">
        <f>IF($C$178="Byron 22B",'BYRON 22B'!$C$58," ")</f>
        <v xml:space="preserve"> </v>
      </c>
      <c r="Z233" s="378" t="str">
        <f>IF($C$178="Byron 22B",'BYRON 22B'!$D$58," ")</f>
        <v xml:space="preserve"> </v>
      </c>
      <c r="AA233" s="380"/>
      <c r="AB233" s="381"/>
      <c r="AC233" s="377" t="str">
        <f>IF($C$178="Byron 22B",'BYRON 22B'!$C$72," ")</f>
        <v xml:space="preserve"> </v>
      </c>
      <c r="AD233" s="378" t="str">
        <f>IF($C$178="Byron 22B",'BYRON 22B'!$D$72," ")</f>
        <v xml:space="preserve"> </v>
      </c>
      <c r="AE233" s="382"/>
      <c r="AF233" s="382"/>
      <c r="AG233" s="501" t="str">
        <f>IF($C$178="Byron 22B",'BYRON 22B'!$C$86," ")</f>
        <v xml:space="preserve"> </v>
      </c>
      <c r="AH233" s="378" t="str">
        <f>IF($C$178="Byron 22B",'BYRON 22B'!$D$86," ")</f>
        <v xml:space="preserve"> </v>
      </c>
      <c r="AI233" s="501" t="str">
        <f>IF($C$178="Byron 22B",'BYRON 22B'!$C$106," ")</f>
        <v xml:space="preserve"> </v>
      </c>
      <c r="AJ233" s="378" t="str">
        <f>IF($C$178="Byron 22B",'BYRON 22B'!$D$106," ")</f>
        <v xml:space="preserve"> </v>
      </c>
      <c r="AK233" s="377" t="str">
        <f>IF($C$178="Byron 22B",'BYRON 22B'!$C$133," ")</f>
        <v xml:space="preserve"> </v>
      </c>
      <c r="AL233" s="378" t="str">
        <f>IF($C$178="Byron 22B",'BYRON 22B'!$D$133," ")</f>
        <v xml:space="preserve"> </v>
      </c>
      <c r="AM233" s="377" t="str">
        <f>IF($C$178="Byron 22B",'BYRON 22B'!$C$142," ")</f>
        <v xml:space="preserve"> </v>
      </c>
      <c r="AN233" s="378" t="str">
        <f>IF($C$178="Byron 22B",'BYRON 22B'!$D$142," ")</f>
        <v xml:space="preserve"> </v>
      </c>
      <c r="AO233" s="380"/>
      <c r="AP233" s="381"/>
      <c r="AQ233" s="377" t="str">
        <f>IF($C$178="Byron 22B",'BYRON 22B'!$C$163," ")</f>
        <v xml:space="preserve"> </v>
      </c>
      <c r="AR233" s="378" t="str">
        <f>IF($C$178="Byron 22B",'BYRON 22B'!$D$163," ")</f>
        <v xml:space="preserve"> </v>
      </c>
    </row>
    <row r="234" spans="1:44" ht="18" customHeight="1">
      <c r="B234" s="615"/>
      <c r="C234" s="616"/>
      <c r="D234" s="365">
        <f t="shared" si="9"/>
        <v>0</v>
      </c>
      <c r="E234" s="445"/>
      <c r="F234" s="363">
        <f t="shared" si="10"/>
        <v>0</v>
      </c>
      <c r="Q234" s="377" t="str">
        <f>IF($C$178="Byron 22B",'BYRON 22B'!$C$10," ")</f>
        <v xml:space="preserve"> </v>
      </c>
      <c r="R234" s="378" t="str">
        <f>IF($C$178="Byron 22B",'BYRON 22B'!$D$10," ")</f>
        <v xml:space="preserve"> </v>
      </c>
      <c r="S234" s="377" t="str">
        <f>IF($C$178="Byron 22B",'BYRON 22B'!$C$24," ")</f>
        <v xml:space="preserve"> </v>
      </c>
      <c r="T234" s="378" t="str">
        <f>IF($C$178="Byron 22B",'BYRON 22B'!$D$24," ")</f>
        <v xml:space="preserve"> </v>
      </c>
      <c r="U234" s="377" t="str">
        <f>IF($C$178="Byron 22B",'BYRON 22B'!$C$36," ")</f>
        <v xml:space="preserve"> </v>
      </c>
      <c r="V234" s="378" t="str">
        <f>IF($C$178="Byron 22B",'BYRON 22B'!$D$36," ")</f>
        <v xml:space="preserve"> </v>
      </c>
      <c r="W234" s="377" t="str">
        <f>IF($C$178="Byron 22B",'BYRON 22B'!$C$49," ")</f>
        <v xml:space="preserve"> </v>
      </c>
      <c r="X234" s="378" t="str">
        <f>IF($C$178="Byron 22B",'BYRON 22B'!$D$49," ")</f>
        <v xml:space="preserve"> </v>
      </c>
      <c r="Y234" s="380"/>
      <c r="Z234" s="381"/>
      <c r="AA234" s="380"/>
      <c r="AB234" s="381"/>
      <c r="AC234" s="377" t="str">
        <f>IF($C$178="Byron 22B",'BYRON 22B'!$C$73," ")</f>
        <v xml:space="preserve"> </v>
      </c>
      <c r="AD234" s="378" t="str">
        <f>IF($C$178="Byron 22B",'BYRON 22B'!$D$73," ")</f>
        <v xml:space="preserve"> </v>
      </c>
      <c r="AE234" s="382"/>
      <c r="AF234" s="382"/>
      <c r="AG234" s="501" t="str">
        <f>IF($C$178="Byron 22B",'BYRON 22B'!$C$87," ")</f>
        <v xml:space="preserve"> </v>
      </c>
      <c r="AH234" s="378" t="str">
        <f>IF($C$178="Byron 22B",'BYRON 22B'!$D$87," ")</f>
        <v xml:space="preserve"> </v>
      </c>
      <c r="AI234" s="501" t="str">
        <f>IF($C$178="Byron 22B",'BYRON 22B'!$C$107," ")</f>
        <v xml:space="preserve"> </v>
      </c>
      <c r="AJ234" s="378" t="str">
        <f>IF($C$178="Byron 22B",'BYRON 22B'!$D$107," ")</f>
        <v xml:space="preserve"> </v>
      </c>
      <c r="AK234" s="380"/>
      <c r="AL234" s="381"/>
      <c r="AM234" s="377" t="str">
        <f>IF($C$178="Byron 22B",'BYRON 22B'!$C$143," ")</f>
        <v xml:space="preserve"> </v>
      </c>
      <c r="AN234" s="378" t="str">
        <f>IF($C$178="Byron 22B",'BYRON 22B'!$D$143," ")</f>
        <v xml:space="preserve"> </v>
      </c>
      <c r="AO234" s="380"/>
      <c r="AP234" s="381"/>
      <c r="AQ234" s="377" t="str">
        <f>IF($C$178="Byron 22B",'BYRON 22B'!$C$164," ")</f>
        <v xml:space="preserve"> </v>
      </c>
      <c r="AR234" s="378" t="str">
        <f>IF($C$178="Byron 22B",'BYRON 22B'!$D$164," ")</f>
        <v xml:space="preserve"> </v>
      </c>
    </row>
    <row r="235" spans="1:44" ht="18" customHeight="1">
      <c r="B235" s="615"/>
      <c r="C235" s="616"/>
      <c r="D235" s="365">
        <f t="shared" si="9"/>
        <v>0</v>
      </c>
      <c r="E235" s="445"/>
      <c r="F235" s="363">
        <f t="shared" si="10"/>
        <v>0</v>
      </c>
      <c r="Q235" s="377" t="str">
        <f>IF($C$178="Byron 22B",'BYRON 22B'!$C$11," ")</f>
        <v xml:space="preserve"> </v>
      </c>
      <c r="R235" s="378" t="str">
        <f>IF($C$178="Byron 22B",'BYRON 22B'!$D$11," ")</f>
        <v xml:space="preserve"> </v>
      </c>
      <c r="S235" s="377" t="str">
        <f>IF($C$178="Byron 22B",'BYRON 22B'!$C$25," ")</f>
        <v xml:space="preserve"> </v>
      </c>
      <c r="T235" s="378" t="str">
        <f>IF($C$178="Byron 22B",'BYRON 22B'!$D$25," ")</f>
        <v xml:space="preserve"> </v>
      </c>
      <c r="U235" s="377" t="str">
        <f>IF($C$178="Byron 22B",'BYRON 22B'!$C$37," ")</f>
        <v xml:space="preserve"> </v>
      </c>
      <c r="V235" s="378" t="str">
        <f>IF($C$178="Byron 22B",'BYRON 22B'!$D$37," ")</f>
        <v xml:space="preserve"> </v>
      </c>
      <c r="W235" s="377" t="str">
        <f>IF($C$178="Byron 22B",'BYRON 22B'!$C$50," ")</f>
        <v xml:space="preserve"> </v>
      </c>
      <c r="X235" s="378" t="str">
        <f>IF($C$178="Byron 22B",'BYRON 22B'!$D$50," ")</f>
        <v xml:space="preserve"> </v>
      </c>
      <c r="Y235" s="380"/>
      <c r="Z235" s="381"/>
      <c r="AA235" s="380"/>
      <c r="AB235" s="381"/>
      <c r="AC235" s="382"/>
      <c r="AD235" s="382"/>
      <c r="AE235" s="382"/>
      <c r="AF235" s="382"/>
      <c r="AG235" s="501" t="str">
        <f>IF($C$178="Byron 22B",'BYRON 22B'!$C$88," ")</f>
        <v xml:space="preserve"> </v>
      </c>
      <c r="AH235" s="378" t="str">
        <f>IF($C$178="Byron 22B",'BYRON 22B'!$D$88," ")</f>
        <v xml:space="preserve"> </v>
      </c>
      <c r="AI235" s="501" t="str">
        <f>IF($C$178="Byron 22B",'BYRON 22B'!$C$108," ")</f>
        <v xml:space="preserve"> </v>
      </c>
      <c r="AJ235" s="378" t="str">
        <f>IF($C$178="Byron 22B",'BYRON 22B'!$D$108," ")</f>
        <v xml:space="preserve"> </v>
      </c>
      <c r="AK235" s="380"/>
      <c r="AL235" s="381"/>
      <c r="AM235" s="377" t="str">
        <f>IF($C$178="Byron 22B",'BYRON 22B'!$C$144," ")</f>
        <v xml:space="preserve"> </v>
      </c>
      <c r="AN235" s="378" t="str">
        <f>IF($C$178="Byron 22B",'BYRON 22B'!$D$144," ")</f>
        <v xml:space="preserve"> </v>
      </c>
      <c r="AO235" s="380"/>
      <c r="AP235" s="381"/>
      <c r="AQ235" s="380"/>
      <c r="AR235" s="381"/>
    </row>
    <row r="236" spans="1:44" ht="18" customHeight="1">
      <c r="B236" s="615"/>
      <c r="C236" s="616"/>
      <c r="D236" s="365">
        <f t="shared" si="9"/>
        <v>0</v>
      </c>
      <c r="E236" s="447"/>
      <c r="F236" s="363">
        <f t="shared" si="10"/>
        <v>0</v>
      </c>
      <c r="Q236" s="377"/>
      <c r="R236" s="378"/>
      <c r="S236" s="377"/>
      <c r="T236" s="378"/>
      <c r="U236" s="377"/>
      <c r="V236" s="378"/>
      <c r="W236" s="377"/>
      <c r="X236" s="378"/>
      <c r="Y236" s="380"/>
      <c r="Z236" s="381"/>
      <c r="AA236" s="380"/>
      <c r="AB236" s="381"/>
      <c r="AC236" s="382"/>
      <c r="AD236" s="382"/>
      <c r="AE236" s="382"/>
      <c r="AF236" s="382"/>
      <c r="AG236" s="501"/>
      <c r="AH236" s="378"/>
      <c r="AI236" s="501"/>
      <c r="AJ236" s="378"/>
      <c r="AK236" s="380"/>
      <c r="AL236" s="381"/>
      <c r="AM236" s="377"/>
      <c r="AN236" s="378"/>
      <c r="AO236" s="380"/>
      <c r="AP236" s="381"/>
      <c r="AQ236" s="380"/>
      <c r="AR236" s="381"/>
    </row>
    <row r="237" spans="1:44" ht="18" customHeight="1">
      <c r="B237" s="588" t="s">
        <v>1136</v>
      </c>
      <c r="C237" s="589"/>
      <c r="D237" s="589"/>
      <c r="E237" s="589"/>
      <c r="F237" s="590"/>
      <c r="Q237" s="377" t="str">
        <f>IF($C$178="Byron 22B",'BYRON 22B'!$C$12," ")</f>
        <v xml:space="preserve"> </v>
      </c>
      <c r="R237" s="378" t="str">
        <f>IF($C$178="Byron 22B",'BYRON 22B'!$D$12," ")</f>
        <v xml:space="preserve"> </v>
      </c>
      <c r="S237" s="377" t="str">
        <f>IF($C$178="Byron 22B",'BYRON 22B'!$C$26," ")</f>
        <v xml:space="preserve"> </v>
      </c>
      <c r="T237" s="378" t="str">
        <f>IF($C$178="Byron 22B",'BYRON 22B'!$D$26," ")</f>
        <v xml:space="preserve"> </v>
      </c>
      <c r="U237" s="377" t="str">
        <f>IF($C$178="Byron 22B",'BYRON 22B'!$C$38," ")</f>
        <v xml:space="preserve"> </v>
      </c>
      <c r="V237" s="378" t="str">
        <f>IF($C$178="Byron 22B",'BYRON 22B'!$D$38," ")</f>
        <v xml:space="preserve"> </v>
      </c>
      <c r="W237" s="380"/>
      <c r="X237" s="381"/>
      <c r="Y237" s="380"/>
      <c r="Z237" s="381"/>
      <c r="AA237" s="380"/>
      <c r="AB237" s="381"/>
      <c r="AC237" s="382"/>
      <c r="AD237" s="382"/>
      <c r="AE237" s="382"/>
      <c r="AF237" s="382"/>
      <c r="AG237" s="501" t="str">
        <f>IF($C$178="Byron 22B",'BYRON 22B'!$C$89," ")</f>
        <v xml:space="preserve"> </v>
      </c>
      <c r="AH237" s="378" t="str">
        <f>IF($C$178="Byron 22B",'BYRON 22B'!$D$89," ")</f>
        <v xml:space="preserve"> </v>
      </c>
      <c r="AI237" s="501" t="str">
        <f>IF($C$178="Byron 22B",'BYRON 22B'!$C$109," ")</f>
        <v xml:space="preserve"> </v>
      </c>
      <c r="AJ237" s="378" t="str">
        <f>IF($C$178="Byron 22B",'BYRON 22B'!$D$109," ")</f>
        <v xml:space="preserve"> </v>
      </c>
      <c r="AK237" s="380"/>
      <c r="AL237" s="381"/>
      <c r="AM237" s="377" t="str">
        <f>IF($C$178="Byron 22B",'BYRON 22B'!$C$145," ")</f>
        <v xml:space="preserve"> </v>
      </c>
      <c r="AN237" s="378" t="str">
        <f>IF($C$178="Byron 22B",'BYRON 22B'!$D$145," ")</f>
        <v xml:space="preserve"> </v>
      </c>
      <c r="AO237" s="380"/>
      <c r="AP237" s="381"/>
      <c r="AQ237" s="380"/>
      <c r="AR237" s="381"/>
    </row>
    <row r="238" spans="1:44" ht="18" customHeight="1">
      <c r="B238" s="586"/>
      <c r="C238" s="587"/>
      <c r="D238" s="365">
        <f t="shared" ref="D238:D245" si="11">_xlfn.XLOOKUP($B238,$W$173:$W$393,$X$173:$X$393)</f>
        <v>0</v>
      </c>
      <c r="E238" s="445"/>
      <c r="F238" s="363">
        <f>SUM(E238-D238)</f>
        <v>0</v>
      </c>
      <c r="Q238" s="377" t="str">
        <f>IF($C$178="Byron 22B",'BYRON 22B'!$C$13," ")</f>
        <v xml:space="preserve"> </v>
      </c>
      <c r="R238" s="378" t="str">
        <f>IF($C$178="Byron 22B",'BYRON 22B'!$D$13," ")</f>
        <v xml:space="preserve"> </v>
      </c>
      <c r="S238" s="382"/>
      <c r="T238" s="382"/>
      <c r="U238" s="377" t="str">
        <f>IF($C$178="Byron 22B",'BYRON 22B'!$C$39," ")</f>
        <v xml:space="preserve"> </v>
      </c>
      <c r="V238" s="378" t="str">
        <f>IF($C$178="Byron 22B",'BYRON 22B'!$D$39," ")</f>
        <v xml:space="preserve"> </v>
      </c>
      <c r="W238" s="380"/>
      <c r="X238" s="381"/>
      <c r="Y238" s="380"/>
      <c r="Z238" s="381"/>
      <c r="AA238" s="380"/>
      <c r="AB238" s="381"/>
      <c r="AC238" s="382"/>
      <c r="AD238" s="382"/>
      <c r="AE238" s="382"/>
      <c r="AF238" s="382"/>
      <c r="AG238" s="501" t="str">
        <f>IF($C$178="Byron 22B",'BYRON 22B'!$C$90," ")</f>
        <v xml:space="preserve"> </v>
      </c>
      <c r="AH238" s="378" t="str">
        <f>IF($C$178="Byron 22B",'BYRON 22B'!$D$90," ")</f>
        <v xml:space="preserve"> </v>
      </c>
      <c r="AI238" s="501" t="str">
        <f>IF($C$178="Byron 22B",'BYRON 22B'!$C$110," ")</f>
        <v xml:space="preserve"> </v>
      </c>
      <c r="AJ238" s="378" t="str">
        <f>IF($C$178="Byron 22B",'BYRON 22B'!$D$110," ")</f>
        <v xml:space="preserve"> </v>
      </c>
      <c r="AK238" s="380"/>
      <c r="AL238" s="381"/>
      <c r="AM238" s="377" t="str">
        <f>IF($C$178="Byron 22B",'BYRON 22B'!$C$146," ")</f>
        <v xml:space="preserve"> </v>
      </c>
      <c r="AN238" s="378" t="str">
        <f>IF($C$178="Byron 22B",'BYRON 22B'!$D$146," ")</f>
        <v xml:space="preserve"> </v>
      </c>
      <c r="AO238" s="380"/>
      <c r="AP238" s="381"/>
      <c r="AQ238" s="380"/>
      <c r="AR238" s="381"/>
    </row>
    <row r="239" spans="1:44" ht="18" customHeight="1">
      <c r="B239" s="586"/>
      <c r="C239" s="587"/>
      <c r="D239" s="365">
        <f t="shared" si="11"/>
        <v>0</v>
      </c>
      <c r="E239" s="445"/>
      <c r="F239" s="363">
        <f t="shared" ref="F239:F245" si="12">SUM(E239-D239)</f>
        <v>0</v>
      </c>
      <c r="Q239" s="377" t="str">
        <f>IF($C$178="Byron 22B",'BYRON 22B'!$C$14," ")</f>
        <v xml:space="preserve"> </v>
      </c>
      <c r="R239" s="378" t="str">
        <f>IF($C$178="Byron 22B",'BYRON 22B'!$D$14," ")</f>
        <v xml:space="preserve"> </v>
      </c>
      <c r="S239" s="382"/>
      <c r="T239" s="382"/>
      <c r="U239" s="377" t="str">
        <f>IF($C$178="Byron 22B",'BYRON 22B'!$C$40," ")</f>
        <v xml:space="preserve"> </v>
      </c>
      <c r="V239" s="378" t="str">
        <f>IF($C$178="Byron 22B",'BYRON 22B'!$D$40," ")</f>
        <v xml:space="preserve"> </v>
      </c>
      <c r="W239" s="380"/>
      <c r="X239" s="381"/>
      <c r="Y239" s="380"/>
      <c r="Z239" s="381"/>
      <c r="AA239" s="380"/>
      <c r="AB239" s="381"/>
      <c r="AC239" s="382"/>
      <c r="AD239" s="382"/>
      <c r="AE239" s="382"/>
      <c r="AF239" s="382"/>
      <c r="AG239" s="501" t="str">
        <f>IF($C$178="Byron 22B",'BYRON 22B'!$C$91," ")</f>
        <v xml:space="preserve"> </v>
      </c>
      <c r="AH239" s="378" t="str">
        <f>IF($C$178="Byron 22B",'BYRON 22B'!$D$91," ")</f>
        <v xml:space="preserve"> </v>
      </c>
      <c r="AI239" s="501" t="str">
        <f>IF($C$178="Byron 22B",'BYRON 22B'!$C$111," ")</f>
        <v xml:space="preserve"> </v>
      </c>
      <c r="AJ239" s="378" t="str">
        <f>IF($C$178="Byron 22B",'BYRON 22B'!$D$111," ")</f>
        <v xml:space="preserve"> </v>
      </c>
      <c r="AK239" s="380"/>
      <c r="AL239" s="381"/>
      <c r="AM239" s="377" t="str">
        <f>IF($C$178="Byron 22B",'BYRON 22B'!$C$147," ")</f>
        <v xml:space="preserve"> </v>
      </c>
      <c r="AN239" s="378" t="str">
        <f>IF($C$178="Byron 22B",'BYRON 22B'!$D$147," ")</f>
        <v xml:space="preserve"> </v>
      </c>
      <c r="AO239" s="380"/>
      <c r="AP239" s="381"/>
      <c r="AQ239" s="380"/>
      <c r="AR239" s="381"/>
    </row>
    <row r="240" spans="1:44" ht="18" customHeight="1">
      <c r="B240" s="586"/>
      <c r="C240" s="587"/>
      <c r="D240" s="365">
        <f t="shared" si="11"/>
        <v>0</v>
      </c>
      <c r="E240" s="445"/>
      <c r="F240" s="363">
        <f t="shared" si="12"/>
        <v>0</v>
      </c>
      <c r="Q240" s="377" t="str">
        <f>IF($C$178="Byron 22B",'BYRON 22B'!$C$15," ")</f>
        <v xml:space="preserve"> </v>
      </c>
      <c r="R240" s="378" t="str">
        <f>IF($C$178="Byron 22B",'BYRON 22B'!$D$15," ")</f>
        <v xml:space="preserve"> </v>
      </c>
      <c r="S240" s="382"/>
      <c r="T240" s="382"/>
      <c r="U240" s="380"/>
      <c r="V240" s="381"/>
      <c r="W240" s="380"/>
      <c r="X240" s="381"/>
      <c r="Y240" s="380"/>
      <c r="Z240" s="381"/>
      <c r="AA240" s="380"/>
      <c r="AB240" s="381"/>
      <c r="AC240" s="382"/>
      <c r="AD240" s="382"/>
      <c r="AE240" s="382"/>
      <c r="AF240" s="382"/>
      <c r="AG240" s="501" t="str">
        <f>IF($C$178="Byron 22B",'BYRON 22B'!$C$92," ")</f>
        <v xml:space="preserve"> </v>
      </c>
      <c r="AH240" s="378" t="str">
        <f>IF($C$178="Byron 22B",'BYRON 22B'!$D$92," ")</f>
        <v xml:space="preserve"> </v>
      </c>
      <c r="AI240" s="501" t="str">
        <f>IF($C$178="Byron 22B",'BYRON 22B'!$C$112," ")</f>
        <v xml:space="preserve"> </v>
      </c>
      <c r="AJ240" s="378" t="str">
        <f>IF($C$178="Byron 22B",'BYRON 22B'!$D$112," ")</f>
        <v xml:space="preserve"> </v>
      </c>
      <c r="AK240" s="380"/>
      <c r="AL240" s="381"/>
      <c r="AM240" s="377" t="str">
        <f>IF($C$178="Byron 22B",'BYRON 22B'!$C$148," ")</f>
        <v xml:space="preserve"> </v>
      </c>
      <c r="AN240" s="378" t="str">
        <f>IF($C$178="Byron 22B",'BYRON 22B'!$D$148," ")</f>
        <v xml:space="preserve"> </v>
      </c>
      <c r="AO240" s="380"/>
      <c r="AP240" s="381"/>
      <c r="AQ240" s="380"/>
      <c r="AR240" s="381"/>
    </row>
    <row r="241" spans="2:44" ht="18" customHeight="1">
      <c r="B241" s="586"/>
      <c r="C241" s="587"/>
      <c r="D241" s="365">
        <f t="shared" si="11"/>
        <v>0</v>
      </c>
      <c r="E241" s="445"/>
      <c r="F241" s="363">
        <f t="shared" si="12"/>
        <v>0</v>
      </c>
      <c r="Q241" s="382"/>
      <c r="R241" s="483"/>
      <c r="S241" s="382"/>
      <c r="T241" s="382"/>
      <c r="U241" s="382"/>
      <c r="V241" s="382"/>
      <c r="W241" s="382"/>
      <c r="X241" s="382"/>
      <c r="Y241" s="382"/>
      <c r="Z241" s="382"/>
      <c r="AA241" s="382"/>
      <c r="AB241" s="382"/>
      <c r="AC241" s="382"/>
      <c r="AD241" s="382"/>
      <c r="AE241" s="382"/>
      <c r="AF241" s="382"/>
      <c r="AG241" s="501" t="str">
        <f>IF($C$178="Byron 22B",'BYRON 22B'!$C$93," ")</f>
        <v xml:space="preserve"> </v>
      </c>
      <c r="AH241" s="378" t="str">
        <f>IF($C$178="Byron 22B",'BYRON 22B'!$D$93," ")</f>
        <v xml:space="preserve"> </v>
      </c>
      <c r="AI241" s="501" t="str">
        <f>IF($C$178="Byron 22B",'BYRON 22B'!$C$113," ")</f>
        <v xml:space="preserve"> </v>
      </c>
      <c r="AJ241" s="378" t="str">
        <f>IF($C$178="Byron 22B",'BYRON 22B'!$D$113," ")</f>
        <v xml:space="preserve"> </v>
      </c>
      <c r="AK241" s="380"/>
      <c r="AL241" s="381"/>
      <c r="AM241" s="380"/>
      <c r="AN241" s="381"/>
      <c r="AO241" s="380"/>
      <c r="AP241" s="381"/>
      <c r="AQ241" s="380"/>
      <c r="AR241" s="381"/>
    </row>
    <row r="242" spans="2:44" ht="18" customHeight="1">
      <c r="B242" s="586"/>
      <c r="C242" s="587"/>
      <c r="D242" s="365">
        <f t="shared" si="11"/>
        <v>0</v>
      </c>
      <c r="E242" s="445"/>
      <c r="F242" s="363">
        <f t="shared" si="12"/>
        <v>0</v>
      </c>
      <c r="Q242" s="382"/>
      <c r="R242" s="483"/>
      <c r="S242" s="382"/>
      <c r="T242" s="382"/>
      <c r="U242" s="382"/>
      <c r="V242" s="382"/>
      <c r="W242" s="382"/>
      <c r="X242" s="382"/>
      <c r="Y242" s="382"/>
      <c r="Z242" s="382"/>
      <c r="AA242" s="382"/>
      <c r="AB242" s="382"/>
      <c r="AC242" s="382"/>
      <c r="AD242" s="382"/>
      <c r="AE242" s="382"/>
      <c r="AF242" s="382"/>
      <c r="AG242" s="501" t="str">
        <f>IF($C$178="Byron 22B",'BYRON 22B'!$C$94," ")</f>
        <v xml:space="preserve"> </v>
      </c>
      <c r="AH242" s="378" t="str">
        <f>IF($C$178="Byron 22B",'BYRON 22B'!$D$94," ")</f>
        <v xml:space="preserve"> </v>
      </c>
      <c r="AI242" s="501" t="str">
        <f>IF($C$178="Byron 22B",'BYRON 22B'!$C$114," ")</f>
        <v xml:space="preserve"> </v>
      </c>
      <c r="AJ242" s="378" t="str">
        <f>IF($C$178="Byron 22B",'BYRON 22B'!$D$114," ")</f>
        <v xml:space="preserve"> </v>
      </c>
      <c r="AK242" s="380"/>
      <c r="AL242" s="381"/>
      <c r="AM242" s="380"/>
      <c r="AN242" s="381"/>
      <c r="AO242" s="380"/>
      <c r="AP242" s="381"/>
      <c r="AQ242" s="380"/>
      <c r="AR242" s="381"/>
    </row>
    <row r="243" spans="2:44" ht="18" customHeight="1">
      <c r="B243" s="586"/>
      <c r="C243" s="587"/>
      <c r="D243" s="365">
        <f t="shared" si="11"/>
        <v>0</v>
      </c>
      <c r="E243" s="445"/>
      <c r="F243" s="363">
        <f t="shared" si="12"/>
        <v>0</v>
      </c>
      <c r="Q243" s="382"/>
      <c r="R243" s="504"/>
      <c r="S243" s="382"/>
      <c r="T243" s="382"/>
      <c r="U243" s="382"/>
      <c r="V243" s="382"/>
      <c r="W243" s="382"/>
      <c r="X243" s="382"/>
      <c r="Y243" s="382"/>
      <c r="Z243" s="382"/>
      <c r="AA243" s="382"/>
      <c r="AB243" s="382"/>
      <c r="AC243" s="382"/>
      <c r="AD243" s="382"/>
      <c r="AE243" s="382"/>
      <c r="AF243" s="382"/>
      <c r="AG243" s="501" t="str">
        <f>IF($C$178="Byron 22B",'BYRON 22B'!$C$95," ")</f>
        <v xml:space="preserve"> </v>
      </c>
      <c r="AH243" s="378" t="str">
        <f>IF($C$178="Byron 22B",'BYRON 22B'!$D$95," ")</f>
        <v xml:space="preserve"> </v>
      </c>
      <c r="AI243" s="501" t="str">
        <f>IF($C$178="Byron 22B",'BYRON 22B'!$C$115," ")</f>
        <v xml:space="preserve"> </v>
      </c>
      <c r="AJ243" s="378" t="str">
        <f>IF($C$178="Byron 22B",'BYRON 22B'!$D$115," ")</f>
        <v xml:space="preserve"> </v>
      </c>
      <c r="AK243" s="380"/>
      <c r="AL243" s="381"/>
      <c r="AM243" s="380"/>
      <c r="AN243" s="381"/>
      <c r="AO243" s="380"/>
      <c r="AP243" s="381"/>
      <c r="AQ243" s="380"/>
      <c r="AR243" s="381"/>
    </row>
    <row r="244" spans="2:44" ht="18" customHeight="1">
      <c r="B244" s="586"/>
      <c r="C244" s="587"/>
      <c r="D244" s="365">
        <f t="shared" si="11"/>
        <v>0</v>
      </c>
      <c r="E244" s="445"/>
      <c r="F244" s="363">
        <f t="shared" si="12"/>
        <v>0</v>
      </c>
      <c r="Q244" s="382"/>
      <c r="R244" s="483"/>
      <c r="S244" s="382"/>
      <c r="T244" s="382"/>
      <c r="U244" s="382"/>
      <c r="V244" s="382"/>
      <c r="W244" s="382"/>
      <c r="X244" s="382"/>
      <c r="Y244" s="382"/>
      <c r="Z244" s="382"/>
      <c r="AA244" s="382"/>
      <c r="AB244" s="382"/>
      <c r="AC244" s="382"/>
      <c r="AD244" s="382"/>
      <c r="AE244" s="382"/>
      <c r="AF244" s="382"/>
      <c r="AG244" s="501" t="str">
        <f>IF($C$178="Byron 22B",'BYRON 22B'!$C$96," ")</f>
        <v xml:space="preserve"> </v>
      </c>
      <c r="AH244" s="378" t="str">
        <f>IF($C$178="Byron 22B",'BYRON 22B'!$D$96," ")</f>
        <v xml:space="preserve"> </v>
      </c>
      <c r="AI244" s="501" t="str">
        <f>IF($C$178="Byron 22B",'BYRON 22B'!$C$116," ")</f>
        <v xml:space="preserve"> </v>
      </c>
      <c r="AJ244" s="378" t="str">
        <f>IF($C$178="Byron 22B",'BYRON 22B'!$D$116," ")</f>
        <v xml:space="preserve"> </v>
      </c>
      <c r="AK244" s="380"/>
      <c r="AL244" s="381"/>
      <c r="AM244" s="380"/>
      <c r="AN244" s="381"/>
      <c r="AO244" s="380"/>
      <c r="AP244" s="381"/>
      <c r="AQ244" s="380"/>
      <c r="AR244" s="381"/>
    </row>
    <row r="245" spans="2:44" ht="18" customHeight="1">
      <c r="B245" s="586"/>
      <c r="C245" s="587"/>
      <c r="D245" s="365">
        <f t="shared" si="11"/>
        <v>0</v>
      </c>
      <c r="E245" s="447"/>
      <c r="F245" s="363">
        <f t="shared" si="12"/>
        <v>0</v>
      </c>
      <c r="Q245" s="382"/>
      <c r="R245" s="483"/>
      <c r="S245" s="382"/>
      <c r="T245" s="382"/>
      <c r="U245" s="382"/>
      <c r="V245" s="382"/>
      <c r="W245" s="382"/>
      <c r="X245" s="382"/>
      <c r="Y245" s="382"/>
      <c r="Z245" s="382"/>
      <c r="AA245" s="382"/>
      <c r="AB245" s="382"/>
      <c r="AC245" s="382"/>
      <c r="AD245" s="382"/>
      <c r="AE245" s="382"/>
      <c r="AF245" s="382"/>
      <c r="AG245" s="501"/>
      <c r="AH245" s="378"/>
      <c r="AI245" s="501"/>
      <c r="AJ245" s="378"/>
      <c r="AK245" s="380"/>
      <c r="AL245" s="381"/>
      <c r="AM245" s="380"/>
      <c r="AN245" s="381"/>
      <c r="AO245" s="380"/>
      <c r="AP245" s="381"/>
      <c r="AQ245" s="380"/>
      <c r="AR245" s="381"/>
    </row>
    <row r="246" spans="2:44" ht="18" customHeight="1">
      <c r="B246" s="588" t="s">
        <v>346</v>
      </c>
      <c r="C246" s="589"/>
      <c r="D246" s="589"/>
      <c r="E246" s="589"/>
      <c r="F246" s="590"/>
      <c r="Q246" s="382"/>
      <c r="R246" s="483"/>
      <c r="S246" s="382"/>
      <c r="T246" s="382"/>
      <c r="U246" s="382"/>
      <c r="V246" s="382"/>
      <c r="W246" s="382"/>
      <c r="X246" s="382"/>
      <c r="Y246" s="382"/>
      <c r="Z246" s="382"/>
      <c r="AA246" s="382"/>
      <c r="AB246" s="382"/>
      <c r="AC246" s="382"/>
      <c r="AD246" s="382"/>
      <c r="AE246" s="382"/>
      <c r="AF246" s="382"/>
      <c r="AG246" s="501" t="str">
        <f>IF($C$178="Byron 22B",'BYRON 22B'!$C$97," ")</f>
        <v xml:space="preserve"> </v>
      </c>
      <c r="AH246" s="378" t="str">
        <f>IF($C$178="Byron 22B",'BYRON 22B'!$D$97," ")</f>
        <v xml:space="preserve"> </v>
      </c>
      <c r="AI246" s="501" t="str">
        <f>IF($C$178="Byron 22B",'BYRON 22B'!$C$117," ")</f>
        <v xml:space="preserve"> </v>
      </c>
      <c r="AJ246" s="378" t="str">
        <f>IF($C$178="Byron 22B",'BYRON 22B'!$D$117," ")</f>
        <v xml:space="preserve"> </v>
      </c>
      <c r="AK246" s="380"/>
      <c r="AL246" s="381"/>
      <c r="AM246" s="380"/>
      <c r="AN246" s="381"/>
      <c r="AO246" s="380"/>
      <c r="AP246" s="381"/>
      <c r="AQ246" s="380"/>
      <c r="AR246" s="381"/>
    </row>
    <row r="247" spans="2:44" ht="18" customHeight="1">
      <c r="B247" s="586"/>
      <c r="C247" s="587"/>
      <c r="D247" s="365">
        <f t="shared" ref="D247:D252" si="13">_xlfn.XLOOKUP($B247,$Y$173:$Y$393,$Z$173:$Z$393)</f>
        <v>0</v>
      </c>
      <c r="E247" s="445"/>
      <c r="F247" s="363">
        <f>SUM(E247-D247)</f>
        <v>0</v>
      </c>
      <c r="Q247" s="382"/>
      <c r="R247" s="483"/>
      <c r="S247" s="382"/>
      <c r="T247" s="382"/>
      <c r="U247" s="382"/>
      <c r="V247" s="382"/>
      <c r="W247" s="382"/>
      <c r="X247" s="382"/>
      <c r="Y247" s="382"/>
      <c r="Z247" s="382"/>
      <c r="AA247" s="382"/>
      <c r="AB247" s="382"/>
      <c r="AC247" s="382"/>
      <c r="AD247" s="382"/>
      <c r="AE247" s="382"/>
      <c r="AF247" s="382"/>
      <c r="AG247" s="501" t="str">
        <f>IF($C$178="Byron 22B",'BYRON 22B'!$C$98," ")</f>
        <v xml:space="preserve"> </v>
      </c>
      <c r="AH247" s="378" t="str">
        <f>IF($C$178="Byron 22B",'BYRON 22B'!$D$98," ")</f>
        <v xml:space="preserve"> </v>
      </c>
      <c r="AI247" s="501" t="str">
        <f>IF($C$178="Byron 22B",'BYRON 22B'!$C$118," ")</f>
        <v xml:space="preserve"> </v>
      </c>
      <c r="AJ247" s="378" t="str">
        <f>IF($C$178="Byron 22B",'BYRON 22B'!$D$118," ")</f>
        <v xml:space="preserve"> </v>
      </c>
      <c r="AK247" s="380"/>
      <c r="AL247" s="381"/>
      <c r="AM247" s="380"/>
      <c r="AN247" s="381"/>
      <c r="AO247" s="380"/>
      <c r="AP247" s="381"/>
      <c r="AQ247" s="380"/>
      <c r="AR247" s="381"/>
    </row>
    <row r="248" spans="2:44" ht="18" customHeight="1">
      <c r="B248" s="586"/>
      <c r="C248" s="587"/>
      <c r="D248" s="365">
        <f t="shared" si="13"/>
        <v>0</v>
      </c>
      <c r="E248" s="445"/>
      <c r="F248" s="363">
        <f t="shared" ref="F248:F252" si="14">SUM(E248-D248)</f>
        <v>0</v>
      </c>
      <c r="Q248" s="382"/>
      <c r="R248" s="483"/>
      <c r="S248" s="382"/>
      <c r="T248" s="382"/>
      <c r="U248" s="382"/>
      <c r="V248" s="382"/>
      <c r="W248" s="382"/>
      <c r="X248" s="382"/>
      <c r="Y248" s="382"/>
      <c r="Z248" s="382"/>
      <c r="AA248" s="382"/>
      <c r="AB248" s="382"/>
      <c r="AC248" s="382"/>
      <c r="AD248" s="382"/>
      <c r="AE248" s="382"/>
      <c r="AF248" s="382"/>
      <c r="AH248" s="382"/>
      <c r="AI248" s="501" t="str">
        <f>IF($C$178="Byron 22B",'BYRON 22B'!$C$119," ")</f>
        <v xml:space="preserve"> </v>
      </c>
      <c r="AJ248" s="378" t="str">
        <f>IF($C$178="Byron 22B",'BYRON 22B'!$D$119," ")</f>
        <v xml:space="preserve"> </v>
      </c>
      <c r="AK248" s="380"/>
      <c r="AL248" s="381"/>
      <c r="AM248" s="380"/>
      <c r="AN248" s="381"/>
      <c r="AO248" s="380"/>
      <c r="AP248" s="381"/>
      <c r="AQ248" s="380"/>
      <c r="AR248" s="381"/>
    </row>
    <row r="249" spans="2:44" ht="18" customHeight="1">
      <c r="B249" s="586"/>
      <c r="C249" s="587"/>
      <c r="D249" s="365">
        <f t="shared" si="13"/>
        <v>0</v>
      </c>
      <c r="E249" s="445"/>
      <c r="F249" s="363">
        <f t="shared" si="14"/>
        <v>0</v>
      </c>
      <c r="Q249" s="382"/>
      <c r="R249" s="483"/>
      <c r="S249" s="382"/>
      <c r="T249" s="382"/>
      <c r="U249" s="382"/>
      <c r="V249" s="382"/>
      <c r="W249" s="382"/>
      <c r="X249" s="382"/>
      <c r="Y249" s="382"/>
      <c r="Z249" s="382"/>
      <c r="AA249" s="382"/>
      <c r="AB249" s="382"/>
      <c r="AC249" s="382"/>
      <c r="AD249" s="382"/>
      <c r="AE249" s="382"/>
      <c r="AF249" s="382"/>
      <c r="AG249" s="398"/>
      <c r="AH249" s="382"/>
      <c r="AI249" s="501" t="str">
        <f>IF($C$178="Byron 22B",'BYRON 22B'!$C$120," ")</f>
        <v xml:space="preserve"> </v>
      </c>
      <c r="AJ249" s="378" t="str">
        <f>IF($C$178="Byron 22B",'BYRON 22B'!$D$120," ")</f>
        <v xml:space="preserve"> </v>
      </c>
      <c r="AK249" s="380"/>
      <c r="AL249" s="381"/>
      <c r="AM249" s="380"/>
      <c r="AN249" s="381"/>
      <c r="AO249" s="380"/>
      <c r="AP249" s="381"/>
      <c r="AQ249" s="380"/>
      <c r="AR249" s="381"/>
    </row>
    <row r="250" spans="2:44" ht="18" customHeight="1">
      <c r="B250" s="586"/>
      <c r="C250" s="587"/>
      <c r="D250" s="365">
        <f t="shared" si="13"/>
        <v>0</v>
      </c>
      <c r="E250" s="445"/>
      <c r="F250" s="363">
        <f t="shared" si="14"/>
        <v>0</v>
      </c>
      <c r="Q250" s="382"/>
      <c r="R250" s="483"/>
      <c r="S250" s="382"/>
      <c r="T250" s="382"/>
      <c r="U250" s="382"/>
      <c r="V250" s="382"/>
      <c r="W250" s="382"/>
      <c r="X250" s="382"/>
      <c r="Y250" s="382"/>
      <c r="Z250" s="382"/>
      <c r="AA250" s="382"/>
      <c r="AB250" s="382"/>
      <c r="AC250" s="382"/>
      <c r="AD250" s="382"/>
      <c r="AE250" s="382"/>
      <c r="AF250" s="382"/>
      <c r="AG250" s="398"/>
      <c r="AH250" s="382"/>
      <c r="AI250" s="501" t="str">
        <f>IF($C$178="Byron 22B",'BYRON 22B'!$C$121," ")</f>
        <v xml:space="preserve"> </v>
      </c>
      <c r="AJ250" s="378" t="str">
        <f>IF($C$178="Byron 22B",'BYRON 22B'!$D$121," ")</f>
        <v xml:space="preserve"> </v>
      </c>
      <c r="AK250" s="380"/>
      <c r="AL250" s="381"/>
      <c r="AM250" s="380"/>
      <c r="AN250" s="381"/>
      <c r="AO250" s="380"/>
      <c r="AP250" s="381"/>
      <c r="AQ250" s="380"/>
      <c r="AR250" s="381"/>
    </row>
    <row r="251" spans="2:44" ht="18" customHeight="1">
      <c r="B251" s="586"/>
      <c r="C251" s="587"/>
      <c r="D251" s="365">
        <f t="shared" si="13"/>
        <v>0</v>
      </c>
      <c r="E251" s="445"/>
      <c r="F251" s="363">
        <f t="shared" si="14"/>
        <v>0</v>
      </c>
      <c r="Q251" s="382"/>
      <c r="R251" s="483"/>
      <c r="S251" s="382"/>
      <c r="T251" s="382"/>
      <c r="U251" s="382"/>
      <c r="V251" s="382"/>
      <c r="W251" s="382"/>
      <c r="X251" s="382"/>
      <c r="Y251" s="382"/>
      <c r="Z251" s="382"/>
      <c r="AA251" s="382"/>
      <c r="AB251" s="382"/>
      <c r="AC251" s="382"/>
      <c r="AD251" s="382"/>
      <c r="AE251" s="382"/>
      <c r="AF251" s="382"/>
      <c r="AG251" s="398"/>
      <c r="AH251" s="382"/>
      <c r="AI251" s="501" t="str">
        <f>IF($C$178="Byron 22B",'BYRON 22B'!$C$122," ")</f>
        <v xml:space="preserve"> </v>
      </c>
      <c r="AJ251" s="378" t="str">
        <f>IF($C$178="Byron 22B",'BYRON 22B'!$D$122," ")</f>
        <v xml:space="preserve"> </v>
      </c>
      <c r="AK251" s="380"/>
      <c r="AL251" s="381"/>
      <c r="AM251" s="380"/>
      <c r="AN251" s="381"/>
      <c r="AO251" s="380"/>
      <c r="AP251" s="381"/>
      <c r="AQ251" s="380"/>
      <c r="AR251" s="381"/>
    </row>
    <row r="252" spans="2:44" ht="18" customHeight="1">
      <c r="B252" s="586"/>
      <c r="C252" s="587"/>
      <c r="D252" s="365">
        <f t="shared" si="13"/>
        <v>0</v>
      </c>
      <c r="E252" s="445"/>
      <c r="F252" s="363">
        <f t="shared" si="14"/>
        <v>0</v>
      </c>
      <c r="Q252" s="382"/>
      <c r="R252" s="483"/>
      <c r="S252" s="382"/>
      <c r="T252" s="382"/>
      <c r="U252" s="382"/>
      <c r="V252" s="382"/>
      <c r="W252" s="382"/>
      <c r="X252" s="382"/>
      <c r="Y252" s="382"/>
      <c r="Z252" s="382"/>
      <c r="AA252" s="382"/>
      <c r="AB252" s="382"/>
      <c r="AC252" s="382"/>
      <c r="AD252" s="382"/>
      <c r="AE252" s="382"/>
      <c r="AF252" s="382"/>
      <c r="AG252" s="398"/>
      <c r="AH252" s="382"/>
      <c r="AI252" s="501" t="str">
        <f>IF($C$178="Byron 22B",'BYRON 22B'!$C$123," ")</f>
        <v xml:space="preserve"> </v>
      </c>
      <c r="AJ252" s="378" t="str">
        <f>IF($C$178="Byron 22B",'BYRON 22B'!$D$123," ")</f>
        <v xml:space="preserve"> </v>
      </c>
      <c r="AK252" s="380"/>
      <c r="AL252" s="381"/>
      <c r="AM252" s="380"/>
      <c r="AN252" s="381"/>
      <c r="AO252" s="380"/>
      <c r="AP252" s="381"/>
      <c r="AQ252" s="380"/>
      <c r="AR252" s="381"/>
    </row>
    <row r="253" spans="2:44" ht="18" customHeight="1">
      <c r="B253" s="588" t="s">
        <v>1216</v>
      </c>
      <c r="C253" s="589"/>
      <c r="D253" s="589"/>
      <c r="E253" s="589"/>
      <c r="F253" s="590"/>
      <c r="Q253" s="382"/>
      <c r="R253" s="483"/>
      <c r="S253" s="382"/>
      <c r="T253" s="382"/>
      <c r="U253" s="382"/>
      <c r="V253" s="382"/>
      <c r="W253" s="382"/>
      <c r="X253" s="382"/>
      <c r="Y253" s="382"/>
      <c r="Z253" s="382"/>
      <c r="AA253" s="382"/>
      <c r="AB253" s="382"/>
      <c r="AC253" s="382"/>
      <c r="AD253" s="382"/>
      <c r="AE253" s="382"/>
      <c r="AF253" s="382"/>
      <c r="AG253" s="398"/>
      <c r="AH253" s="382"/>
      <c r="AI253" s="501" t="str">
        <f>IF($C$178="Byron 22B",'BYRON 22B'!$C$124," ")</f>
        <v xml:space="preserve"> </v>
      </c>
      <c r="AJ253" s="378" t="str">
        <f>IF($C$178="Byron 22B",'BYRON 22B'!$D$124," ")</f>
        <v xml:space="preserve"> </v>
      </c>
      <c r="AK253" s="382"/>
      <c r="AL253" s="382"/>
      <c r="AM253" s="382"/>
      <c r="AN253" s="382"/>
      <c r="AO253" s="382"/>
      <c r="AP253" s="382"/>
      <c r="AQ253" s="382"/>
      <c r="AR253" s="382"/>
    </row>
    <row r="254" spans="2:44" ht="18" customHeight="1">
      <c r="B254" s="586"/>
      <c r="C254" s="587"/>
      <c r="D254" s="365">
        <f>_xlfn.XLOOKUP($B254,$AA$173:$AA$393,$AB$173:$AB$393)</f>
        <v>0</v>
      </c>
      <c r="E254" s="445"/>
      <c r="F254" s="363">
        <f t="shared" ref="F254:F256" si="15">SUM(E254-D254)</f>
        <v>0</v>
      </c>
      <c r="Q254" s="382"/>
      <c r="R254" s="483"/>
      <c r="S254" s="382"/>
      <c r="T254" s="382"/>
      <c r="U254" s="382"/>
      <c r="V254" s="382"/>
      <c r="W254" s="382"/>
      <c r="X254" s="382"/>
      <c r="Y254" s="382"/>
      <c r="Z254" s="382"/>
      <c r="AA254" s="382"/>
      <c r="AB254" s="382"/>
      <c r="AC254" s="382"/>
      <c r="AD254" s="382"/>
      <c r="AE254" s="382"/>
      <c r="AF254" s="382"/>
      <c r="AG254" s="398"/>
      <c r="AH254" s="382"/>
      <c r="AI254" s="501" t="str">
        <f>IF($C$178="Byron 22B",'BYRON 22B'!$C$125," ")</f>
        <v xml:space="preserve"> </v>
      </c>
      <c r="AJ254" s="378" t="str">
        <f>IF($C$178="Byron 22B",'BYRON 22B'!$D$125," ")</f>
        <v xml:space="preserve"> </v>
      </c>
      <c r="AK254" s="382"/>
      <c r="AL254" s="382"/>
      <c r="AM254" s="382"/>
      <c r="AN254" s="382"/>
      <c r="AO254" s="382"/>
      <c r="AP254" s="382"/>
      <c r="AQ254" s="382"/>
      <c r="AR254" s="382"/>
    </row>
    <row r="255" spans="2:44" ht="18" customHeight="1">
      <c r="B255" s="586"/>
      <c r="C255" s="587"/>
      <c r="D255" s="365">
        <f>_xlfn.XLOOKUP($B255,$AA$173:$AA$393,$AB$173:$AB$393)</f>
        <v>0</v>
      </c>
      <c r="E255" s="445"/>
      <c r="F255" s="363">
        <f t="shared" si="15"/>
        <v>0</v>
      </c>
      <c r="Q255" s="374" t="str">
        <f>IF($C$178="ASHWOOD 17",'ASHWOOD 17'!$C$4," ")</f>
        <v xml:space="preserve"> </v>
      </c>
      <c r="R255" s="375" t="str">
        <f>IF($C$178="ASHWOOD 17",'ASHWOOD 17'!$D$4," ")</f>
        <v xml:space="preserve"> </v>
      </c>
      <c r="S255" s="374" t="str">
        <f>IF($C$178="ASHWOOD 17",'ASHWOOD 17'!$C$18," ")</f>
        <v xml:space="preserve"> </v>
      </c>
      <c r="T255" s="375" t="str">
        <f>IF($C$178="ASHWOOD 17",'ASHWOOD 17'!$D$18," ")</f>
        <v xml:space="preserve"> </v>
      </c>
      <c r="U255" s="374" t="str">
        <f>IF($C$178="ASHWOOD 17",'ASHWOOD 17'!$C$30," ")</f>
        <v xml:space="preserve"> </v>
      </c>
      <c r="V255" s="375" t="str">
        <f>IF($C$178="ASHWOOD 17",'ASHWOOD 17'!$D$30," ")</f>
        <v xml:space="preserve"> </v>
      </c>
      <c r="W255" s="374" t="str">
        <f>IF($C$178="ASHWOOD 17",'ASHWOOD 17'!$C$43," ")</f>
        <v xml:space="preserve"> </v>
      </c>
      <c r="X255" s="375" t="str">
        <f>IF($C$178="ASHWOOD 17",'ASHWOOD 17'!$D$43," ")</f>
        <v xml:space="preserve"> </v>
      </c>
      <c r="Y255" s="374" t="str">
        <f>IF($C$178="ASHWOOD 17",'ASHWOOD 17'!$C$53," ")</f>
        <v xml:space="preserve"> </v>
      </c>
      <c r="Z255" s="375" t="str">
        <f>IF($C$178="ASHWOOD 17",'ASHWOOD 17'!$D$53," ")</f>
        <v xml:space="preserve"> </v>
      </c>
      <c r="AA255" s="374" t="str">
        <f>IF($C$178="ASHWOOD 17",'ASHWOOD 17'!$C$61," ")</f>
        <v xml:space="preserve"> </v>
      </c>
      <c r="AB255" s="375" t="str">
        <f>IF($C$178="ASHWOOD 17",'ASHWOOD 17'!$D$61," ")</f>
        <v xml:space="preserve"> </v>
      </c>
      <c r="AC255" s="374" t="str">
        <f>IF($C$178="ASHWOOD 17",'ASHWOOD 17'!$C$67," ")</f>
        <v xml:space="preserve"> </v>
      </c>
      <c r="AD255" s="375" t="str">
        <f>IF($C$178="ASHWOOD 17",'ASHWOOD 17'!$D$67," ")</f>
        <v xml:space="preserve"> </v>
      </c>
      <c r="AE255" s="374" t="str">
        <f>IF($C$178="ASHWOOD 17",'ASHWOOD 17'!$C$76," ")</f>
        <v xml:space="preserve"> </v>
      </c>
      <c r="AF255" s="375" t="str">
        <f>IF($C$178="ASHWOOD 17",'ASHWOOD 17'!$D$76," ")</f>
        <v xml:space="preserve"> </v>
      </c>
      <c r="AG255" s="500" t="str">
        <f>IF($C$178="ASHWOOD 17",'ASHWOOD 17'!$C$81," ")</f>
        <v xml:space="preserve"> </v>
      </c>
      <c r="AH255" s="375" t="str">
        <f>IF($C$178="ASHWOOD 17",'ASHWOOD 17'!$D$81," ")</f>
        <v xml:space="preserve"> </v>
      </c>
      <c r="AI255" s="500" t="str">
        <f>IF($C$178="ASHWOOD 17",'ASHWOOD 17'!$C$101," ")</f>
        <v xml:space="preserve"> </v>
      </c>
      <c r="AJ255" s="375" t="str">
        <f>IF($C$178="ASHWOOD 17",'ASHWOOD 17'!$D$101," ")</f>
        <v xml:space="preserve"> </v>
      </c>
      <c r="AK255" s="374" t="str">
        <f>IF($C$178="ASHWOOD 17",'ASHWOOD 17'!$C$128," ")</f>
        <v xml:space="preserve"> </v>
      </c>
      <c r="AL255" s="375" t="str">
        <f>IF($C$178="ASHWOOD 17",'ASHWOOD 17'!$D$128," ")</f>
        <v xml:space="preserve"> </v>
      </c>
      <c r="AM255" s="374" t="str">
        <f>IF($C$178="ASHWOOD 17",'ASHWOOD 17'!$C$137," ")</f>
        <v xml:space="preserve"> </v>
      </c>
      <c r="AN255" s="375" t="str">
        <f>IF($C$178="ASHWOOD 17",'ASHWOOD 17'!$D$137," ")</f>
        <v xml:space="preserve"> </v>
      </c>
      <c r="AO255" s="374" t="str">
        <f>IF($C$178="ASHWOOD 17",'ASHWOOD 17'!$C$151," ")</f>
        <v xml:space="preserve"> </v>
      </c>
      <c r="AP255" s="375" t="str">
        <f>IF($C$178="ASHWOOD 17",'ASHWOOD 17'!$D$151," ")</f>
        <v xml:space="preserve"> </v>
      </c>
      <c r="AQ255" s="374" t="str">
        <f>IF($C$178="ASHWOOD 17",'ASHWOOD 17'!$C$158," ")</f>
        <v xml:space="preserve"> </v>
      </c>
      <c r="AR255" s="375" t="str">
        <f>IF($C$178="ASHWOOD 17",'ASHWOOD 17'!$D$158," ")</f>
        <v xml:space="preserve"> </v>
      </c>
    </row>
    <row r="256" spans="2:44" ht="18" customHeight="1">
      <c r="B256" s="586"/>
      <c r="C256" s="587"/>
      <c r="D256" s="365">
        <f>_xlfn.XLOOKUP($B256,$AA$173:$AA$393,$AB$173:$AB$393)</f>
        <v>0</v>
      </c>
      <c r="E256" s="445"/>
      <c r="F256" s="363">
        <f t="shared" si="15"/>
        <v>0</v>
      </c>
      <c r="Q256" s="377" t="str">
        <f>IF($C$178="ASHWOOD 17",'ASHWOOD 17'!$C$5," ")</f>
        <v xml:space="preserve"> </v>
      </c>
      <c r="R256" s="378" t="str">
        <f>IF($C$178="ASHWOOD 17",'ASHWOOD 17'!$D$5," ")</f>
        <v xml:space="preserve"> </v>
      </c>
      <c r="S256" s="377" t="str">
        <f>IF($C$178="ASHWOOD 17",'ASHWOOD 17'!$C$19," ")</f>
        <v xml:space="preserve"> </v>
      </c>
      <c r="T256" s="378" t="str">
        <f>IF($C$178="ASHWOOD 17",'ASHWOOD 17'!$D$19," ")</f>
        <v xml:space="preserve"> </v>
      </c>
      <c r="U256" s="377" t="str">
        <f>IF($C$178="ASHWOOD 17",'ASHWOOD 17'!$C$31," ")</f>
        <v xml:space="preserve"> </v>
      </c>
      <c r="V256" s="378" t="str">
        <f>IF($C$178="ASHWOOD 17",'ASHWOOD 17'!$D$31," ")</f>
        <v xml:space="preserve"> </v>
      </c>
      <c r="W256" s="377" t="str">
        <f>IF($C$178="ASHWOOD 17",'ASHWOOD 17'!$C$44," ")</f>
        <v xml:space="preserve"> </v>
      </c>
      <c r="X256" s="378" t="str">
        <f>IF($C$178="ASHWOOD 17",'ASHWOOD 17'!$D$44," ")</f>
        <v xml:space="preserve"> </v>
      </c>
      <c r="Y256" s="377" t="str">
        <f>IF($C$178="ASHWOOD 17",'ASHWOOD 17'!$C$54," ")</f>
        <v xml:space="preserve"> </v>
      </c>
      <c r="Z256" s="378" t="str">
        <f>IF($C$178="ASHWOOD 17",'ASHWOOD 17'!$D$54," ")</f>
        <v xml:space="preserve"> </v>
      </c>
      <c r="AA256" s="377" t="str">
        <f>IF($C$178="ASHWOOD 17",'ASHWOOD 17'!$C$62," ")</f>
        <v xml:space="preserve"> </v>
      </c>
      <c r="AB256" s="378" t="str">
        <f>IF($C$178="ASHWOOD 17",'ASHWOOD 17'!$D$62," ")</f>
        <v xml:space="preserve"> </v>
      </c>
      <c r="AC256" s="377" t="str">
        <f>IF($C$178="ASHWOOD 17",'ASHWOOD 17'!$C$68," ")</f>
        <v xml:space="preserve"> </v>
      </c>
      <c r="AD256" s="378" t="str">
        <f>IF($C$178="ASHWOOD 17",'ASHWOOD 17'!$D$68," ")</f>
        <v xml:space="preserve"> </v>
      </c>
      <c r="AE256" s="377" t="str">
        <f>IF($C$178="ASHWOOD 17",'ASHWOOD 17'!$C$77," ")</f>
        <v xml:space="preserve"> </v>
      </c>
      <c r="AF256" s="378" t="str">
        <f>IF($C$178="ASHWOOD 17",'ASHWOOD 17'!$D$77," ")</f>
        <v xml:space="preserve"> </v>
      </c>
      <c r="AG256" s="501" t="str">
        <f>IF($C$178="ASHWOOD 17",'ASHWOOD 17'!$C$82," ")</f>
        <v xml:space="preserve"> </v>
      </c>
      <c r="AH256" s="378" t="str">
        <f>IF($C$178="ASHWOOD 17",'ASHWOOD 17'!$D$82," ")</f>
        <v xml:space="preserve"> </v>
      </c>
      <c r="AI256" s="501" t="str">
        <f>IF($C$178="ASHWOOD 17",'ASHWOOD 17'!$C$102," ")</f>
        <v xml:space="preserve"> </v>
      </c>
      <c r="AJ256" s="378" t="str">
        <f>IF($C$178="ASHWOOD 17",'ASHWOOD 17'!$D$102," ")</f>
        <v xml:space="preserve"> </v>
      </c>
      <c r="AK256" s="377" t="str">
        <f>IF($C$178="ASHWOOD 17",'ASHWOOD 17'!$C$129," ")</f>
        <v xml:space="preserve"> </v>
      </c>
      <c r="AL256" s="378" t="str">
        <f>IF($C$178="ASHWOOD 17",'ASHWOOD 17'!$D$129," ")</f>
        <v xml:space="preserve"> </v>
      </c>
      <c r="AM256" s="377" t="str">
        <f>IF($C$178="ASHWOOD 17",'ASHWOOD 17'!$C$138," ")</f>
        <v xml:space="preserve"> </v>
      </c>
      <c r="AN256" s="378" t="str">
        <f>IF($C$178="ASHWOOD 17",'ASHWOOD 17'!$D$138," ")</f>
        <v xml:space="preserve"> </v>
      </c>
      <c r="AO256" s="377" t="str">
        <f>IF($C$178="ASHWOOD 17",'ASHWOOD 17'!$C$152," ")</f>
        <v xml:space="preserve"> </v>
      </c>
      <c r="AP256" s="378" t="str">
        <f>IF($C$178="ASHWOOD 17",'ASHWOOD 17'!$D$152," ")</f>
        <v xml:space="preserve"> </v>
      </c>
      <c r="AQ256" s="377" t="str">
        <f>IF($C$178="ASHWOOD 17",'ASHWOOD 17'!$C$159," ")</f>
        <v xml:space="preserve"> </v>
      </c>
      <c r="AR256" s="378" t="str">
        <f>IF($C$178="ASHWOOD 17",'ASHWOOD 17'!$D$159," ")</f>
        <v xml:space="preserve"> </v>
      </c>
    </row>
    <row r="257" spans="2:44" s="390" customFormat="1" ht="18" customHeight="1">
      <c r="B257" s="605" t="s">
        <v>1137</v>
      </c>
      <c r="C257" s="606"/>
      <c r="D257" s="606"/>
      <c r="E257" s="606"/>
      <c r="F257" s="607"/>
      <c r="Q257" s="377" t="str">
        <f>IF($C$178="ASHWOOD 17",'ASHWOOD 17'!$C$6," ")</f>
        <v xml:space="preserve"> </v>
      </c>
      <c r="R257" s="378" t="str">
        <f>IF($C$178="ASHWOOD 17",'ASHWOOD 17'!$D$6," ")</f>
        <v xml:space="preserve"> </v>
      </c>
      <c r="S257" s="377" t="str">
        <f>IF($C$178="ASHWOOD 17",'ASHWOOD 17'!$C$20," ")</f>
        <v xml:space="preserve"> </v>
      </c>
      <c r="T257" s="378" t="str">
        <f>IF($C$178="ASHWOOD 17",'ASHWOOD 17'!$D$20," ")</f>
        <v xml:space="preserve"> </v>
      </c>
      <c r="U257" s="377" t="str">
        <f>IF($C$178="ASHWOOD 17",'ASHWOOD 17'!$C$32," ")</f>
        <v xml:space="preserve"> </v>
      </c>
      <c r="V257" s="378" t="str">
        <f>IF($C$178="ASHWOOD 17",'ASHWOOD 17'!$D$32," ")</f>
        <v xml:space="preserve"> </v>
      </c>
      <c r="W257" s="377" t="str">
        <f>IF($C$178="ASHWOOD 17",'ASHWOOD 17'!$C$45," ")</f>
        <v xml:space="preserve"> </v>
      </c>
      <c r="X257" s="378" t="str">
        <f>IF($C$178="ASHWOOD 17",'ASHWOOD 17'!$D$45," ")</f>
        <v xml:space="preserve"> </v>
      </c>
      <c r="Y257" s="377" t="str">
        <f>IF($C$178="ASHWOOD 17",'ASHWOOD 17'!$C$55," ")</f>
        <v xml:space="preserve"> </v>
      </c>
      <c r="Z257" s="378" t="str">
        <f>IF($C$178="ASHWOOD 17",'ASHWOOD 17'!$D$55," ")</f>
        <v xml:space="preserve"> </v>
      </c>
      <c r="AA257" s="377" t="str">
        <f>IF($C$178="ASHWOOD 17",'ASHWOOD 17'!$C$63," ")</f>
        <v xml:space="preserve"> </v>
      </c>
      <c r="AB257" s="378" t="str">
        <f>IF($C$178="ASHWOOD 17",'ASHWOOD 17'!$D$63," ")</f>
        <v xml:space="preserve"> </v>
      </c>
      <c r="AC257" s="377" t="str">
        <f>IF($C$178="ASHWOOD 17",'ASHWOOD 17'!$C$69," ")</f>
        <v xml:space="preserve"> </v>
      </c>
      <c r="AD257" s="378" t="str">
        <f>IF($C$178="ASHWOOD 17",'ASHWOOD 17'!$D$69," ")</f>
        <v xml:space="preserve"> </v>
      </c>
      <c r="AE257" s="377" t="str">
        <f>IF($C$178="ASHWOOD 17",'ASHWOOD 17'!$C$78," ")</f>
        <v xml:space="preserve"> </v>
      </c>
      <c r="AF257" s="378" t="str">
        <f>IF($C$178="ASHWOOD 17",'ASHWOOD 17'!$D$78," ")</f>
        <v xml:space="preserve"> </v>
      </c>
      <c r="AG257" s="501" t="str">
        <f>IF($C$178="ASHWOOD 17",'ASHWOOD 17'!$C$83," ")</f>
        <v xml:space="preserve"> </v>
      </c>
      <c r="AH257" s="378" t="str">
        <f>IF($C$178="ASHWOOD 17",'ASHWOOD 17'!$D$83," ")</f>
        <v xml:space="preserve"> </v>
      </c>
      <c r="AI257" s="501" t="str">
        <f>IF($C$178="ASHWOOD 17",'ASHWOOD 17'!$C$103," ")</f>
        <v xml:space="preserve"> </v>
      </c>
      <c r="AJ257" s="378" t="str">
        <f>IF($C$178="ASHWOOD 17",'ASHWOOD 17'!$D$103," ")</f>
        <v xml:space="preserve"> </v>
      </c>
      <c r="AK257" s="377" t="str">
        <f>IF($C$178="ASHWOOD 17",'ASHWOOD 17'!$C$130," ")</f>
        <v xml:space="preserve"> </v>
      </c>
      <c r="AL257" s="378" t="str">
        <f>IF($C$178="ASHWOOD 17",'ASHWOOD 17'!$D$130," ")</f>
        <v xml:space="preserve"> </v>
      </c>
      <c r="AM257" s="377" t="str">
        <f>IF($C$178="ASHWOOD 17",'ASHWOOD 17'!$C$139," ")</f>
        <v xml:space="preserve"> </v>
      </c>
      <c r="AN257" s="378" t="str">
        <f>IF($C$178="ASHWOOD 17",'ASHWOOD 17'!$D$139," ")</f>
        <v xml:space="preserve"> </v>
      </c>
      <c r="AO257" s="377" t="str">
        <f>IF($C$178="ASHWOOD 17",'ASHWOOD 17'!$C$153," ")</f>
        <v xml:space="preserve"> </v>
      </c>
      <c r="AP257" s="378" t="str">
        <f>IF($C$178="ASHWOOD 17",'ASHWOOD 17'!$D$153," ")</f>
        <v xml:space="preserve"> </v>
      </c>
      <c r="AQ257" s="377" t="str">
        <f>IF($C$178="ASHWOOD 17",'ASHWOOD 17'!$C$160," ")</f>
        <v xml:space="preserve"> </v>
      </c>
      <c r="AR257" s="378" t="str">
        <f>IF($C$178="ASHWOOD 17",'ASHWOOD 17'!$D$160," ")</f>
        <v xml:space="preserve"> </v>
      </c>
    </row>
    <row r="258" spans="2:44" ht="18" customHeight="1">
      <c r="B258" s="588" t="s">
        <v>1138</v>
      </c>
      <c r="C258" s="589"/>
      <c r="D258" s="589"/>
      <c r="E258" s="589"/>
      <c r="F258" s="590"/>
      <c r="Q258" s="377" t="str">
        <f>IF($C$178="ASHWOOD 17",'ASHWOOD 17'!$C$7," ")</f>
        <v xml:space="preserve"> </v>
      </c>
      <c r="R258" s="378" t="str">
        <f>IF($C$178="ASHWOOD 17",'ASHWOOD 17'!$D$7," ")</f>
        <v xml:space="preserve"> </v>
      </c>
      <c r="S258" s="377" t="str">
        <f>IF($C$178="ASHWOOD 17",'ASHWOOD 17'!$C$21," ")</f>
        <v xml:space="preserve"> </v>
      </c>
      <c r="T258" s="378" t="str">
        <f>IF($C$178="ASHWOOD 17",'ASHWOOD 17'!$D$21," ")</f>
        <v xml:space="preserve"> </v>
      </c>
      <c r="U258" s="377" t="str">
        <f>IF($C$178="ASHWOOD 17",'ASHWOOD 17'!$C$33," ")</f>
        <v xml:space="preserve"> </v>
      </c>
      <c r="V258" s="378" t="str">
        <f>IF($C$178="ASHWOOD 17",'ASHWOOD 17'!$D$33," ")</f>
        <v xml:space="preserve"> </v>
      </c>
      <c r="W258" s="377" t="str">
        <f>IF($C$178="ASHWOOD 17",'ASHWOOD 17'!$C$46," ")</f>
        <v xml:space="preserve"> </v>
      </c>
      <c r="X258" s="378" t="str">
        <f>IF($C$178="ASHWOOD 17",'ASHWOOD 17'!$D$46," ")</f>
        <v xml:space="preserve"> </v>
      </c>
      <c r="Y258" s="377" t="str">
        <f>IF($C$178="ASHWOOD 17",'ASHWOOD 17'!$C$56," ")</f>
        <v xml:space="preserve"> </v>
      </c>
      <c r="Z258" s="378" t="str">
        <f>IF($C$178="ASHWOOD 17",'ASHWOOD 17'!$D$56," ")</f>
        <v xml:space="preserve"> </v>
      </c>
      <c r="AA258" s="380"/>
      <c r="AB258" s="381"/>
      <c r="AC258" s="377" t="str">
        <f>IF($C$178="ASHWOOD 17",'ASHWOOD 17'!$C$70," ")</f>
        <v xml:space="preserve"> </v>
      </c>
      <c r="AD258" s="378" t="str">
        <f>IF($C$178="ASHWOOD 17",'ASHWOOD 17'!$D$70," ")</f>
        <v xml:space="preserve"> </v>
      </c>
      <c r="AE258" s="382"/>
      <c r="AF258" s="382"/>
      <c r="AG258" s="501" t="str">
        <f>IF($C$178="ASHWOOD 17",'ASHWOOD 17'!$C$84," ")</f>
        <v xml:space="preserve"> </v>
      </c>
      <c r="AH258" s="378" t="str">
        <f>IF($C$178="ASHWOOD 17",'ASHWOOD 17'!$D$84," ")</f>
        <v xml:space="preserve"> </v>
      </c>
      <c r="AI258" s="501" t="str">
        <f>IF($C$178="ASHWOOD 17",'ASHWOOD 17'!$C$104," ")</f>
        <v xml:space="preserve"> </v>
      </c>
      <c r="AJ258" s="378" t="str">
        <f>IF($C$178="ASHWOOD 17",'ASHWOOD 17'!$D$104," ")</f>
        <v xml:space="preserve"> </v>
      </c>
      <c r="AK258" s="377" t="str">
        <f>IF($C$178="ASHWOOD 17",'ASHWOOD 17'!$C$131," ")</f>
        <v xml:space="preserve"> </v>
      </c>
      <c r="AL258" s="378" t="str">
        <f>IF($C$178="ASHWOOD 17",'ASHWOOD 17'!$D$131," ")</f>
        <v xml:space="preserve"> </v>
      </c>
      <c r="AM258" s="377" t="str">
        <f>IF($C$178="ASHWOOD 17",'ASHWOOD 17'!$C$140," ")</f>
        <v xml:space="preserve"> </v>
      </c>
      <c r="AN258" s="378" t="str">
        <f>IF($C$178="ASHWOOD 17",'ASHWOOD 17'!$D$140," ")</f>
        <v xml:space="preserve"> </v>
      </c>
      <c r="AO258" s="377" t="str">
        <f>IF($C$178="ASHWOOD 17",'ASHWOOD 17'!$C$154," ")</f>
        <v xml:space="preserve"> </v>
      </c>
      <c r="AP258" s="378" t="str">
        <f>IF($C$178="ASHWOOD 17",'ASHWOOD 17'!$D$154," ")</f>
        <v xml:space="preserve"> </v>
      </c>
      <c r="AQ258" s="377" t="str">
        <f>IF($C$178="ASHWOOD 17",'ASHWOOD 17'!$C$161," ")</f>
        <v xml:space="preserve"> </v>
      </c>
      <c r="AR258" s="378" t="str">
        <f>IF($C$178="ASHWOOD 17",'ASHWOOD 17'!$D$161," ")</f>
        <v xml:space="preserve"> </v>
      </c>
    </row>
    <row r="259" spans="2:44" ht="18" customHeight="1">
      <c r="B259" s="586"/>
      <c r="C259" s="587"/>
      <c r="D259" s="365">
        <f t="shared" ref="D259:D265" si="16">_xlfn.XLOOKUP($B259,$AC$173:$AC$393,$AD$173:$AD$393)</f>
        <v>0</v>
      </c>
      <c r="E259" s="445"/>
      <c r="F259" s="363">
        <f>SUM(E259-D259)</f>
        <v>0</v>
      </c>
      <c r="Q259" s="377" t="str">
        <f>IF($C$178="ASHWOOD 17",'ASHWOOD 17'!$C$8," ")</f>
        <v xml:space="preserve"> </v>
      </c>
      <c r="R259" s="378" t="str">
        <f>IF($C$178="ASHWOOD 17",'ASHWOOD 17'!$D$8," ")</f>
        <v xml:space="preserve"> </v>
      </c>
      <c r="S259" s="377" t="str">
        <f>IF($C$178="ASHWOOD 17",'ASHWOOD 17'!$C$22," ")</f>
        <v xml:space="preserve"> </v>
      </c>
      <c r="T259" s="378" t="str">
        <f>IF($C$178="ASHWOOD 17",'ASHWOOD 17'!$D$22," ")</f>
        <v xml:space="preserve"> </v>
      </c>
      <c r="U259" s="377" t="str">
        <f>IF($C$178="ASHWOOD 17",'ASHWOOD 17'!$C$34," ")</f>
        <v xml:space="preserve"> </v>
      </c>
      <c r="V259" s="378" t="str">
        <f>IF($C$178="ASHWOOD 17",'ASHWOOD 17'!$D$34," ")</f>
        <v xml:space="preserve"> </v>
      </c>
      <c r="W259" s="377" t="str">
        <f>IF($C$178="ASHWOOD 17",'ASHWOOD 17'!$C$47," ")</f>
        <v xml:space="preserve"> </v>
      </c>
      <c r="X259" s="378" t="str">
        <f>IF($C$178="ASHWOOD 17",'ASHWOOD 17'!$D$47," ")</f>
        <v xml:space="preserve"> </v>
      </c>
      <c r="Y259" s="377" t="str">
        <f>IF($C$178="ASHWOOD 17",'ASHWOOD 17'!$C$57," ")</f>
        <v xml:space="preserve"> </v>
      </c>
      <c r="Z259" s="378" t="str">
        <f>IF($C$178="ASHWOOD 17",'ASHWOOD 17'!$D$57," ")</f>
        <v xml:space="preserve"> </v>
      </c>
      <c r="AA259" s="380"/>
      <c r="AB259" s="381"/>
      <c r="AC259" s="377" t="str">
        <f>IF($C$178="ASHWOOD 17",'ASHWOOD 17'!$C$71," ")</f>
        <v xml:space="preserve"> </v>
      </c>
      <c r="AD259" s="378" t="str">
        <f>IF($C$178="ASHWOOD 17",'ASHWOOD 17'!$D$71," ")</f>
        <v xml:space="preserve"> </v>
      </c>
      <c r="AE259" s="382"/>
      <c r="AF259" s="382"/>
      <c r="AG259" s="501" t="str">
        <f>IF($C$178="ASHWOOD 17",'ASHWOOD 17'!$C$85," ")</f>
        <v xml:space="preserve"> </v>
      </c>
      <c r="AH259" s="378" t="str">
        <f>IF($C$178="ASHWOOD 17",'ASHWOOD 17'!$D$85," ")</f>
        <v xml:space="preserve"> </v>
      </c>
      <c r="AI259" s="501" t="str">
        <f>IF($C$178="ASHWOOD 17",'ASHWOOD 17'!$C$105," ")</f>
        <v xml:space="preserve"> </v>
      </c>
      <c r="AJ259" s="378" t="str">
        <f>IF($C$178="ASHWOOD 17",'ASHWOOD 17'!$D$105," ")</f>
        <v xml:space="preserve"> </v>
      </c>
      <c r="AK259" s="377" t="str">
        <f>IF($C$178="ASHWOOD 17",'ASHWOOD 17'!$C$132," ")</f>
        <v xml:space="preserve"> </v>
      </c>
      <c r="AL259" s="378" t="str">
        <f>IF($C$178="ASHWOOD 17",'ASHWOOD 17'!$D$132," ")</f>
        <v xml:space="preserve"> </v>
      </c>
      <c r="AM259" s="377" t="str">
        <f>IF($C$178="ASHWOOD 17",'ASHWOOD 17'!$C$141," ")</f>
        <v xml:space="preserve"> </v>
      </c>
      <c r="AN259" s="378" t="str">
        <f>IF($C$178="ASHWOOD 17",'ASHWOOD 17'!$D$141," ")</f>
        <v xml:space="preserve"> </v>
      </c>
      <c r="AO259" s="377" t="str">
        <f>IF($C$178="ASHWOOD 17",'ASHWOOD 17'!$C$155," ")</f>
        <v xml:space="preserve"> </v>
      </c>
      <c r="AP259" s="378" t="str">
        <f>IF($C$178="ASHWOOD 17",'ASHWOOD 17'!$D$155," ")</f>
        <v xml:space="preserve"> </v>
      </c>
      <c r="AQ259" s="377" t="str">
        <f>IF($C$178="ASHWOOD 17",'ASHWOOD 17'!$C$162," ")</f>
        <v xml:space="preserve"> </v>
      </c>
      <c r="AR259" s="378" t="str">
        <f>IF($C$178="ASHWOOD 17",'ASHWOOD 17'!$D$162," ")</f>
        <v xml:space="preserve"> </v>
      </c>
    </row>
    <row r="260" spans="2:44" ht="18" customHeight="1">
      <c r="B260" s="586"/>
      <c r="C260" s="587"/>
      <c r="D260" s="365">
        <f t="shared" si="16"/>
        <v>0</v>
      </c>
      <c r="E260" s="445"/>
      <c r="F260" s="363">
        <f t="shared" ref="F260:F265" si="17">SUM(E260-D260)</f>
        <v>0</v>
      </c>
      <c r="Q260" s="377" t="str">
        <f>IF($C$178="ASHWOOD 17",'ASHWOOD 17'!$C$9," ")</f>
        <v xml:space="preserve"> </v>
      </c>
      <c r="R260" s="378" t="str">
        <f>IF($C$178="ASHWOOD 17",'ASHWOOD 17'!$D$9," ")</f>
        <v xml:space="preserve"> </v>
      </c>
      <c r="S260" s="377" t="str">
        <f>IF($C$178="ASHWOOD 17",'ASHWOOD 17'!$C$23," ")</f>
        <v xml:space="preserve"> </v>
      </c>
      <c r="T260" s="378" t="str">
        <f>IF($C$178="ASHWOOD 17",'ASHWOOD 17'!$D$23," ")</f>
        <v xml:space="preserve"> </v>
      </c>
      <c r="U260" s="377" t="str">
        <f>IF($C$178="ASHWOOD 17",'ASHWOOD 17'!$C$35," ")</f>
        <v xml:space="preserve"> </v>
      </c>
      <c r="V260" s="378" t="str">
        <f>IF($C$178="ASHWOOD 17",'ASHWOOD 17'!$D$35," ")</f>
        <v xml:space="preserve"> </v>
      </c>
      <c r="W260" s="377" t="str">
        <f>IF($C$178="ASHWOOD 17",'ASHWOOD 17'!$C$48," ")</f>
        <v xml:space="preserve"> </v>
      </c>
      <c r="X260" s="378" t="str">
        <f>IF($C$178="ASHWOOD 17",'ASHWOOD 17'!$D$48," ")</f>
        <v xml:space="preserve"> </v>
      </c>
      <c r="Y260" s="377" t="str">
        <f>IF($C$178="ASHWOOD 17",'ASHWOOD 17'!$C$58," ")</f>
        <v xml:space="preserve"> </v>
      </c>
      <c r="Z260" s="378" t="str">
        <f>IF($C$178="ASHWOOD 17",'ASHWOOD 17'!$D$58," ")</f>
        <v xml:space="preserve"> </v>
      </c>
      <c r="AA260" s="380"/>
      <c r="AB260" s="381"/>
      <c r="AC260" s="377" t="str">
        <f>IF($C$178="ASHWOOD 17",'ASHWOOD 17'!$C$72," ")</f>
        <v xml:space="preserve"> </v>
      </c>
      <c r="AD260" s="378" t="str">
        <f>IF($C$178="ASHWOOD 17",'ASHWOOD 17'!$D$72," ")</f>
        <v xml:space="preserve"> </v>
      </c>
      <c r="AE260" s="382"/>
      <c r="AF260" s="382"/>
      <c r="AG260" s="501" t="str">
        <f>IF($C$178="ASHWOOD 17",'ASHWOOD 17'!$C$86," ")</f>
        <v xml:space="preserve"> </v>
      </c>
      <c r="AH260" s="378" t="str">
        <f>IF($C$178="ASHWOOD 17",'ASHWOOD 17'!$D$86," ")</f>
        <v xml:space="preserve"> </v>
      </c>
      <c r="AI260" s="501" t="str">
        <f>IF($C$178="ASHWOOD 17",'ASHWOOD 17'!$C$106," ")</f>
        <v xml:space="preserve"> </v>
      </c>
      <c r="AJ260" s="378" t="str">
        <f>IF($C$178="ASHWOOD 17",'ASHWOOD 17'!$D$106," ")</f>
        <v xml:space="preserve"> </v>
      </c>
      <c r="AK260" s="377" t="str">
        <f>IF($C$178="ASHWOOD 17",'ASHWOOD 17'!$C$133," ")</f>
        <v xml:space="preserve"> </v>
      </c>
      <c r="AL260" s="378" t="str">
        <f>IF($C$178="ASHWOOD 17",'ASHWOOD 17'!$D$133," ")</f>
        <v xml:space="preserve"> </v>
      </c>
      <c r="AM260" s="377" t="str">
        <f>IF($C$178="ASHWOOD 17",'ASHWOOD 17'!$C$142," ")</f>
        <v xml:space="preserve"> </v>
      </c>
      <c r="AN260" s="378" t="str">
        <f>IF($C$178="ASHWOOD 17",'ASHWOOD 17'!$D$142," ")</f>
        <v xml:space="preserve"> </v>
      </c>
      <c r="AO260" s="380"/>
      <c r="AP260" s="381"/>
      <c r="AQ260" s="377" t="str">
        <f>IF($C$178="ASHWOOD 17",'ASHWOOD 17'!$C$163," ")</f>
        <v xml:space="preserve"> </v>
      </c>
      <c r="AR260" s="378" t="str">
        <f>IF($C$178="ASHWOOD 17",'ASHWOOD 17'!$D$163," ")</f>
        <v xml:space="preserve"> </v>
      </c>
    </row>
    <row r="261" spans="2:44" ht="18" customHeight="1">
      <c r="B261" s="586"/>
      <c r="C261" s="587"/>
      <c r="D261" s="365">
        <f t="shared" si="16"/>
        <v>0</v>
      </c>
      <c r="E261" s="445"/>
      <c r="F261" s="363">
        <f t="shared" si="17"/>
        <v>0</v>
      </c>
      <c r="Q261" s="377" t="str">
        <f>IF($C$178="ASHWOOD 17",'ASHWOOD 17'!$C$10," ")</f>
        <v xml:space="preserve"> </v>
      </c>
      <c r="R261" s="378" t="str">
        <f>IF($C$178="ASHWOOD 17",'ASHWOOD 17'!$D$10," ")</f>
        <v xml:space="preserve"> </v>
      </c>
      <c r="S261" s="377" t="str">
        <f>IF($C$178="ASHWOOD 17",'ASHWOOD 17'!$C$24," ")</f>
        <v xml:space="preserve"> </v>
      </c>
      <c r="T261" s="378" t="str">
        <f>IF($C$178="ASHWOOD 17",'ASHWOOD 17'!$D$24," ")</f>
        <v xml:space="preserve"> </v>
      </c>
      <c r="U261" s="377" t="str">
        <f>IF($C$178="ASHWOOD 17",'ASHWOOD 17'!$C$36," ")</f>
        <v xml:space="preserve"> </v>
      </c>
      <c r="V261" s="378" t="str">
        <f>IF($C$178="ASHWOOD 17",'ASHWOOD 17'!$D$36," ")</f>
        <v xml:space="preserve"> </v>
      </c>
      <c r="W261" s="377" t="str">
        <f>IF($C$178="ASHWOOD 17",'ASHWOOD 17'!$C$49," ")</f>
        <v xml:space="preserve"> </v>
      </c>
      <c r="X261" s="378" t="str">
        <f>IF($C$178="ASHWOOD 17",'ASHWOOD 17'!$D$49," ")</f>
        <v xml:space="preserve"> </v>
      </c>
      <c r="Y261" s="380"/>
      <c r="Z261" s="381"/>
      <c r="AA261" s="380"/>
      <c r="AB261" s="381"/>
      <c r="AC261" s="377" t="str">
        <f>IF($C$178="ASHWOOD 17",'ASHWOOD 17'!$C$73," ")</f>
        <v xml:space="preserve"> </v>
      </c>
      <c r="AD261" s="378" t="str">
        <f>IF($C$178="ASHWOOD 17",'ASHWOOD 17'!$D$73," ")</f>
        <v xml:space="preserve"> </v>
      </c>
      <c r="AE261" s="382"/>
      <c r="AF261" s="382"/>
      <c r="AG261" s="501" t="str">
        <f>IF($C$178="ASHWOOD 17",'ASHWOOD 17'!$C$87," ")</f>
        <v xml:space="preserve"> </v>
      </c>
      <c r="AH261" s="378" t="str">
        <f>IF($C$178="ASHWOOD 17",'ASHWOOD 17'!$D$87," ")</f>
        <v xml:space="preserve"> </v>
      </c>
      <c r="AI261" s="501" t="str">
        <f>IF($C$178="ASHWOOD 17",'ASHWOOD 17'!$C$107," ")</f>
        <v xml:space="preserve"> </v>
      </c>
      <c r="AJ261" s="378" t="str">
        <f>IF($C$178="ASHWOOD 17",'ASHWOOD 17'!$D$107," ")</f>
        <v xml:space="preserve"> </v>
      </c>
      <c r="AK261" s="380"/>
      <c r="AL261" s="381"/>
      <c r="AM261" s="377" t="str">
        <f>IF($C$178="ASHWOOD 17",'ASHWOOD 17'!$C$143," ")</f>
        <v xml:space="preserve"> </v>
      </c>
      <c r="AN261" s="378" t="str">
        <f>IF($C$178="ASHWOOD 17",'ASHWOOD 17'!$D$143," ")</f>
        <v xml:space="preserve"> </v>
      </c>
      <c r="AO261" s="380"/>
      <c r="AP261" s="381"/>
      <c r="AQ261" s="377" t="str">
        <f>IF($C$178="ASHWOOD 17",'ASHWOOD 17'!$C$164," ")</f>
        <v xml:space="preserve"> </v>
      </c>
      <c r="AR261" s="378" t="str">
        <f>IF($C$178="ASHWOOD 17",'ASHWOOD 17'!$D$164," ")</f>
        <v xml:space="preserve"> </v>
      </c>
    </row>
    <row r="262" spans="2:44" ht="18" customHeight="1">
      <c r="B262" s="586"/>
      <c r="C262" s="587"/>
      <c r="D262" s="365">
        <f t="shared" si="16"/>
        <v>0</v>
      </c>
      <c r="E262" s="445"/>
      <c r="F262" s="363">
        <f t="shared" si="17"/>
        <v>0</v>
      </c>
      <c r="Q262" s="377" t="str">
        <f>IF($C$178="ASHWOOD 17",'ASHWOOD 17'!$C$11," ")</f>
        <v xml:space="preserve"> </v>
      </c>
      <c r="R262" s="378" t="str">
        <f>IF($C$178="ASHWOOD 17",'ASHWOOD 17'!$D$11," ")</f>
        <v xml:space="preserve"> </v>
      </c>
      <c r="S262" s="377" t="str">
        <f>IF($C$178="ASHWOOD 17",'ASHWOOD 17'!$C$25," ")</f>
        <v xml:space="preserve"> </v>
      </c>
      <c r="T262" s="378" t="str">
        <f>IF($C$178="ASHWOOD 17",'ASHWOOD 17'!$D$25," ")</f>
        <v xml:space="preserve"> </v>
      </c>
      <c r="U262" s="377" t="str">
        <f>IF($C$178="ASHWOOD 17",'ASHWOOD 17'!$C$37," ")</f>
        <v xml:space="preserve"> </v>
      </c>
      <c r="V262" s="378" t="str">
        <f>IF($C$178="ASHWOOD 17",'ASHWOOD 17'!$D$37," ")</f>
        <v xml:space="preserve"> </v>
      </c>
      <c r="W262" s="377" t="str">
        <f>IF($C$178="ASHWOOD 17",'ASHWOOD 17'!$C$50," ")</f>
        <v xml:space="preserve"> </v>
      </c>
      <c r="X262" s="378" t="str">
        <f>IF($C$178="ASHWOOD 17",'ASHWOOD 17'!$D$50," ")</f>
        <v xml:space="preserve"> </v>
      </c>
      <c r="Y262" s="380"/>
      <c r="Z262" s="381"/>
      <c r="AA262" s="380"/>
      <c r="AB262" s="381"/>
      <c r="AC262" s="382"/>
      <c r="AD262" s="382"/>
      <c r="AE262" s="382"/>
      <c r="AF262" s="382"/>
      <c r="AG262" s="501" t="str">
        <f>IF($C$178="ASHWOOD 17",'ASHWOOD 17'!$C$88," ")</f>
        <v xml:space="preserve"> </v>
      </c>
      <c r="AH262" s="378" t="str">
        <f>IF($C$178="ASHWOOD 17",'ASHWOOD 17'!$D$88," ")</f>
        <v xml:space="preserve"> </v>
      </c>
      <c r="AI262" s="501" t="str">
        <f>IF($C$178="ASHWOOD 17",'ASHWOOD 17'!$C$108," ")</f>
        <v xml:space="preserve"> </v>
      </c>
      <c r="AJ262" s="378" t="str">
        <f>IF($C$178="ASHWOOD 17",'ASHWOOD 17'!$D$108," ")</f>
        <v xml:space="preserve"> </v>
      </c>
      <c r="AK262" s="380"/>
      <c r="AL262" s="381"/>
      <c r="AM262" s="377" t="str">
        <f>IF($C$178="ASHWOOD 17",'ASHWOOD 17'!$C$144," ")</f>
        <v xml:space="preserve"> </v>
      </c>
      <c r="AN262" s="378" t="str">
        <f>IF($C$178="ASHWOOD 17",'ASHWOOD 17'!$D$144," ")</f>
        <v xml:space="preserve"> </v>
      </c>
      <c r="AO262" s="380"/>
      <c r="AP262" s="381"/>
      <c r="AQ262" s="380"/>
      <c r="AR262" s="381"/>
    </row>
    <row r="263" spans="2:44" ht="18" customHeight="1">
      <c r="B263" s="586"/>
      <c r="C263" s="587"/>
      <c r="D263" s="365">
        <f t="shared" si="16"/>
        <v>0</v>
      </c>
      <c r="E263" s="445"/>
      <c r="F263" s="363">
        <f t="shared" si="17"/>
        <v>0</v>
      </c>
      <c r="Q263" s="377" t="str">
        <f>IF($C$178="ASHWOOD 17",'ASHWOOD 17'!$C$12," ")</f>
        <v xml:space="preserve"> </v>
      </c>
      <c r="R263" s="378" t="str">
        <f>IF($C$178="ASHWOOD 17",'ASHWOOD 17'!$D$12," ")</f>
        <v xml:space="preserve"> </v>
      </c>
      <c r="S263" s="377" t="str">
        <f>IF($C$178="ASHWOOD 17",'ASHWOOD 17'!$C$26," ")</f>
        <v xml:space="preserve"> </v>
      </c>
      <c r="T263" s="378" t="str">
        <f>IF($C$178="ASHWOOD 17",'ASHWOOD 17'!$D$26," ")</f>
        <v xml:space="preserve"> </v>
      </c>
      <c r="U263" s="377" t="str">
        <f>IF($C$178="ASHWOOD 17",'ASHWOOD 17'!$C$38," ")</f>
        <v xml:space="preserve"> </v>
      </c>
      <c r="V263" s="378" t="str">
        <f>IF($C$178="ASHWOOD 17",'ASHWOOD 17'!$D$38," ")</f>
        <v xml:space="preserve"> </v>
      </c>
      <c r="W263" s="380"/>
      <c r="X263" s="381"/>
      <c r="Y263" s="380"/>
      <c r="Z263" s="381"/>
      <c r="AA263" s="380"/>
      <c r="AB263" s="381"/>
      <c r="AC263" s="382"/>
      <c r="AD263" s="382"/>
      <c r="AE263" s="382"/>
      <c r="AF263" s="382"/>
      <c r="AG263" s="501" t="str">
        <f>IF($C$178="ASHWOOD 17",'ASHWOOD 17'!$C$89," ")</f>
        <v xml:space="preserve"> </v>
      </c>
      <c r="AH263" s="378" t="str">
        <f>IF($C$178="ASHWOOD 17",'ASHWOOD 17'!$D$89," ")</f>
        <v xml:space="preserve"> </v>
      </c>
      <c r="AI263" s="501" t="str">
        <f>IF($C$178="ASHWOOD 17",'ASHWOOD 17'!$C$109," ")</f>
        <v xml:space="preserve"> </v>
      </c>
      <c r="AJ263" s="378" t="str">
        <f>IF($C$178="ASHWOOD 17",'ASHWOOD 17'!$D$109," ")</f>
        <v xml:space="preserve"> </v>
      </c>
      <c r="AK263" s="380"/>
      <c r="AL263" s="381"/>
      <c r="AM263" s="377" t="str">
        <f>IF($C$178="ASHWOOD 17",'ASHWOOD 17'!$C$145," ")</f>
        <v xml:space="preserve"> </v>
      </c>
      <c r="AN263" s="378" t="str">
        <f>IF($C$178="ASHWOOD 17",'ASHWOOD 17'!$D$145," ")</f>
        <v xml:space="preserve"> </v>
      </c>
      <c r="AO263" s="380"/>
      <c r="AP263" s="381"/>
      <c r="AQ263" s="380"/>
      <c r="AR263" s="381"/>
    </row>
    <row r="264" spans="2:44" ht="18" customHeight="1">
      <c r="B264" s="586"/>
      <c r="C264" s="587"/>
      <c r="D264" s="365">
        <f t="shared" si="16"/>
        <v>0</v>
      </c>
      <c r="E264" s="445"/>
      <c r="F264" s="363">
        <f t="shared" si="17"/>
        <v>0</v>
      </c>
      <c r="Q264" s="377" t="str">
        <f>IF($C$178="ASHWOOD 17",'ASHWOOD 17'!$C$13," ")</f>
        <v xml:space="preserve"> </v>
      </c>
      <c r="R264" s="378" t="str">
        <f>IF($C$178="ASHWOOD 17",'ASHWOOD 17'!$D$13," ")</f>
        <v xml:space="preserve"> </v>
      </c>
      <c r="S264" s="382"/>
      <c r="T264" s="382"/>
      <c r="U264" s="377" t="str">
        <f>IF($C$178="ASHWOOD 17",'ASHWOOD 17'!$C$39," ")</f>
        <v xml:space="preserve"> </v>
      </c>
      <c r="V264" s="378" t="str">
        <f>IF($C$178="ASHWOOD 17",'ASHWOOD 17'!$D$39," ")</f>
        <v xml:space="preserve"> </v>
      </c>
      <c r="W264" s="380"/>
      <c r="X264" s="381"/>
      <c r="Y264" s="380"/>
      <c r="Z264" s="381"/>
      <c r="AA264" s="380"/>
      <c r="AB264" s="381"/>
      <c r="AC264" s="382"/>
      <c r="AD264" s="382"/>
      <c r="AE264" s="382"/>
      <c r="AF264" s="382"/>
      <c r="AG264" s="501" t="str">
        <f>IF($C$178="ASHWOOD 17",'ASHWOOD 17'!$C$90," ")</f>
        <v xml:space="preserve"> </v>
      </c>
      <c r="AH264" s="378" t="str">
        <f>IF($C$178="ASHWOOD 17",'ASHWOOD 17'!$D$90," ")</f>
        <v xml:space="preserve"> </v>
      </c>
      <c r="AI264" s="501" t="str">
        <f>IF($C$178="ASHWOOD 17",'ASHWOOD 17'!$C$110," ")</f>
        <v xml:space="preserve"> </v>
      </c>
      <c r="AJ264" s="378" t="str">
        <f>IF($C$178="ASHWOOD 17",'ASHWOOD 17'!$D$110," ")</f>
        <v xml:space="preserve"> </v>
      </c>
      <c r="AK264" s="380"/>
      <c r="AL264" s="381"/>
      <c r="AM264" s="377" t="str">
        <f>IF($C$178="ASHWOOD 17",'ASHWOOD 17'!$C$146," ")</f>
        <v xml:space="preserve"> </v>
      </c>
      <c r="AN264" s="378" t="str">
        <f>IF($C$178="ASHWOOD 17",'ASHWOOD 17'!$D$146," ")</f>
        <v xml:space="preserve"> </v>
      </c>
      <c r="AO264" s="380"/>
      <c r="AP264" s="381"/>
      <c r="AQ264" s="380"/>
      <c r="AR264" s="381"/>
    </row>
    <row r="265" spans="2:44" ht="18" customHeight="1">
      <c r="B265" s="586"/>
      <c r="C265" s="587"/>
      <c r="D265" s="365">
        <f t="shared" si="16"/>
        <v>0</v>
      </c>
      <c r="E265" s="445"/>
      <c r="F265" s="363">
        <f t="shared" si="17"/>
        <v>0</v>
      </c>
      <c r="Q265" s="377" t="str">
        <f>IF($C$178="ASHWOOD 17",'ASHWOOD 17'!$C$14," ")</f>
        <v xml:space="preserve"> </v>
      </c>
      <c r="R265" s="378" t="str">
        <f>IF($C$178="ASHWOOD 17",'ASHWOOD 17'!$D$14," ")</f>
        <v xml:space="preserve"> </v>
      </c>
      <c r="S265" s="382"/>
      <c r="T265" s="382"/>
      <c r="U265" s="377" t="str">
        <f>IF($C$178="ASHWOOD 17",'ASHWOOD 17'!$C$40," ")</f>
        <v xml:space="preserve"> </v>
      </c>
      <c r="V265" s="378" t="str">
        <f>IF($C$178="ASHWOOD 17",'ASHWOOD 17'!$D$40," ")</f>
        <v xml:space="preserve"> </v>
      </c>
      <c r="W265" s="380"/>
      <c r="X265" s="381"/>
      <c r="Y265" s="380"/>
      <c r="Z265" s="381"/>
      <c r="AA265" s="380"/>
      <c r="AB265" s="381"/>
      <c r="AC265" s="382"/>
      <c r="AD265" s="382"/>
      <c r="AE265" s="382"/>
      <c r="AF265" s="382"/>
      <c r="AG265" s="501" t="str">
        <f>IF($C$178="ASHWOOD 17",'ASHWOOD 17'!$C$91," ")</f>
        <v xml:space="preserve"> </v>
      </c>
      <c r="AH265" s="378" t="str">
        <f>IF($C$178="ASHWOOD 17",'ASHWOOD 17'!$D$91," ")</f>
        <v xml:space="preserve"> </v>
      </c>
      <c r="AI265" s="501" t="str">
        <f>IF($C$178="ASHWOOD 17",'ASHWOOD 17'!$C$111," ")</f>
        <v xml:space="preserve"> </v>
      </c>
      <c r="AJ265" s="378" t="str">
        <f>IF($C$178="ASHWOOD 17",'ASHWOOD 17'!$D$111," ")</f>
        <v xml:space="preserve"> </v>
      </c>
      <c r="AK265" s="380"/>
      <c r="AL265" s="381"/>
      <c r="AM265" s="377" t="str">
        <f>IF($C$178="ASHWOOD 17",'ASHWOOD 17'!$C$147," ")</f>
        <v xml:space="preserve"> </v>
      </c>
      <c r="AN265" s="378" t="str">
        <f>IF($C$178="ASHWOOD 17",'ASHWOOD 17'!$D$147," ")</f>
        <v xml:space="preserve"> </v>
      </c>
      <c r="AO265" s="380"/>
      <c r="AP265" s="381"/>
      <c r="AQ265" s="380"/>
      <c r="AR265" s="381"/>
    </row>
    <row r="266" spans="2:44" ht="18" customHeight="1">
      <c r="B266" s="588" t="s">
        <v>1139</v>
      </c>
      <c r="C266" s="589"/>
      <c r="D266" s="589"/>
      <c r="E266" s="589"/>
      <c r="F266" s="590"/>
      <c r="Q266" s="377" t="str">
        <f>IF($C$178="ASHWOOD 17",'ASHWOOD 17'!$C$15," ")</f>
        <v xml:space="preserve"> </v>
      </c>
      <c r="R266" s="378" t="str">
        <f>IF($C$178="ASHWOOD 17",'ASHWOOD 17'!$D$15," ")</f>
        <v xml:space="preserve"> </v>
      </c>
      <c r="S266" s="382"/>
      <c r="T266" s="382"/>
      <c r="U266" s="380"/>
      <c r="V266" s="381"/>
      <c r="W266" s="380"/>
      <c r="X266" s="381"/>
      <c r="Y266" s="380"/>
      <c r="Z266" s="381"/>
      <c r="AA266" s="380"/>
      <c r="AB266" s="381"/>
      <c r="AC266" s="382"/>
      <c r="AD266" s="382"/>
      <c r="AE266" s="382"/>
      <c r="AF266" s="382"/>
      <c r="AG266" s="501" t="str">
        <f>IF($C$178="ASHWOOD 17",'ASHWOOD 17'!$C$92," ")</f>
        <v xml:space="preserve"> </v>
      </c>
      <c r="AH266" s="378" t="str">
        <f>IF($C$178="ASHWOOD 17",'ASHWOOD 17'!$D$92," ")</f>
        <v xml:space="preserve"> </v>
      </c>
      <c r="AI266" s="501" t="str">
        <f>IF($C$178="ASHWOOD 17",'ASHWOOD 17'!$C$112," ")</f>
        <v xml:space="preserve"> </v>
      </c>
      <c r="AJ266" s="378" t="str">
        <f>IF($C$178="ASHWOOD 17",'ASHWOOD 17'!$D$112," ")</f>
        <v xml:space="preserve"> </v>
      </c>
      <c r="AK266" s="380"/>
      <c r="AL266" s="381"/>
      <c r="AM266" s="377" t="str">
        <f>IF($C$178="ASHWOOD 17",'ASHWOOD 17'!$C$148," ")</f>
        <v xml:space="preserve"> </v>
      </c>
      <c r="AN266" s="378" t="str">
        <f>IF($C$178="ASHWOOD 17",'ASHWOOD 17'!$D$148," ")</f>
        <v xml:space="preserve"> </v>
      </c>
      <c r="AO266" s="380"/>
      <c r="AP266" s="381"/>
      <c r="AQ266" s="380"/>
      <c r="AR266" s="381"/>
    </row>
    <row r="267" spans="2:44" ht="18" customHeight="1">
      <c r="B267" s="586"/>
      <c r="C267" s="587"/>
      <c r="D267" s="365">
        <f>_xlfn.XLOOKUP($B267,$AE$173:$AE$393,$AF$173:$AF$393)</f>
        <v>0</v>
      </c>
      <c r="E267" s="445"/>
      <c r="F267" s="363">
        <f>SUM(E267-D267)</f>
        <v>0</v>
      </c>
      <c r="Q267" s="382"/>
      <c r="R267" s="483"/>
      <c r="S267" s="382"/>
      <c r="T267" s="382"/>
      <c r="U267" s="382"/>
      <c r="V267" s="382"/>
      <c r="W267" s="382"/>
      <c r="X267" s="382"/>
      <c r="Y267" s="382"/>
      <c r="Z267" s="382"/>
      <c r="AA267" s="382"/>
      <c r="AB267" s="382"/>
      <c r="AC267" s="382"/>
      <c r="AD267" s="382"/>
      <c r="AE267" s="382"/>
      <c r="AF267" s="382"/>
      <c r="AG267" s="501" t="str">
        <f>IF($C$178="ASHWOOD 17",'ASHWOOD 17'!$C$93," ")</f>
        <v xml:space="preserve"> </v>
      </c>
      <c r="AH267" s="378" t="str">
        <f>IF($C$178="ASHWOOD 17",'ASHWOOD 17'!$D$93," ")</f>
        <v xml:space="preserve"> </v>
      </c>
      <c r="AI267" s="501" t="str">
        <f>IF($C$178="ASHWOOD 17",'ASHWOOD 17'!$C$113," ")</f>
        <v xml:space="preserve"> </v>
      </c>
      <c r="AJ267" s="378" t="str">
        <f>IF($C$178="ASHWOOD 17",'ASHWOOD 17'!$D$113," ")</f>
        <v xml:space="preserve"> </v>
      </c>
      <c r="AK267" s="380"/>
      <c r="AL267" s="381"/>
      <c r="AM267" s="380"/>
      <c r="AN267" s="381"/>
      <c r="AO267" s="380"/>
      <c r="AP267" s="381"/>
      <c r="AQ267" s="380"/>
      <c r="AR267" s="381"/>
    </row>
    <row r="268" spans="2:44" ht="18" customHeight="1">
      <c r="B268" s="586"/>
      <c r="C268" s="587"/>
      <c r="D268" s="365">
        <f>_xlfn.XLOOKUP($B268,$AE$173:$AE$393,$AF$173:$AF$393)</f>
        <v>0</v>
      </c>
      <c r="E268" s="445"/>
      <c r="F268" s="363">
        <f t="shared" ref="F268:F270" si="18">SUM(E268-D268)</f>
        <v>0</v>
      </c>
      <c r="Q268" s="382"/>
      <c r="R268" s="483"/>
      <c r="S268" s="382"/>
      <c r="T268" s="382"/>
      <c r="U268" s="382"/>
      <c r="V268" s="382"/>
      <c r="W268" s="382"/>
      <c r="X268" s="382"/>
      <c r="Y268" s="382"/>
      <c r="Z268" s="382"/>
      <c r="AA268" s="382"/>
      <c r="AB268" s="382"/>
      <c r="AC268" s="382"/>
      <c r="AD268" s="382"/>
      <c r="AE268" s="382"/>
      <c r="AF268" s="382"/>
      <c r="AG268" s="501" t="str">
        <f>IF($C$178="ASHWOOD 17",'ASHWOOD 17'!$C$94," ")</f>
        <v xml:space="preserve"> </v>
      </c>
      <c r="AH268" s="378" t="str">
        <f>IF($C$178="ASHWOOD 17",'ASHWOOD 17'!$D$94," ")</f>
        <v xml:space="preserve"> </v>
      </c>
      <c r="AI268" s="501" t="str">
        <f>IF($C$178="ASHWOOD 17",'ASHWOOD 17'!$C$114," ")</f>
        <v xml:space="preserve"> </v>
      </c>
      <c r="AJ268" s="378" t="str">
        <f>IF($C$178="ASHWOOD 17",'ASHWOOD 17'!$D$114," ")</f>
        <v xml:space="preserve"> </v>
      </c>
      <c r="AK268" s="380"/>
      <c r="AL268" s="381"/>
      <c r="AM268" s="380"/>
      <c r="AN268" s="381"/>
      <c r="AO268" s="380"/>
      <c r="AP268" s="381"/>
      <c r="AQ268" s="380"/>
      <c r="AR268" s="381"/>
    </row>
    <row r="269" spans="2:44" ht="18" customHeight="1">
      <c r="B269" s="586"/>
      <c r="C269" s="587"/>
      <c r="D269" s="365">
        <f>_xlfn.XLOOKUP($B269,$AE$173:$AE$393,$AF$173:$AF$393)</f>
        <v>0</v>
      </c>
      <c r="E269" s="445"/>
      <c r="F269" s="363">
        <f t="shared" si="18"/>
        <v>0</v>
      </c>
      <c r="Q269" s="382"/>
      <c r="R269" s="504"/>
      <c r="S269" s="382"/>
      <c r="T269" s="382"/>
      <c r="U269" s="382"/>
      <c r="V269" s="382"/>
      <c r="W269" s="382"/>
      <c r="X269" s="382"/>
      <c r="Y269" s="382"/>
      <c r="Z269" s="382"/>
      <c r="AA269" s="382"/>
      <c r="AB269" s="382"/>
      <c r="AC269" s="382"/>
      <c r="AD269" s="382"/>
      <c r="AE269" s="382"/>
      <c r="AF269" s="382"/>
      <c r="AG269" s="501" t="str">
        <f>IF($C$178="ASHWOOD 17",'ASHWOOD 17'!$C$95," ")</f>
        <v xml:space="preserve"> </v>
      </c>
      <c r="AH269" s="378" t="str">
        <f>IF($C$178="ASHWOOD 17",'ASHWOOD 17'!$D$95," ")</f>
        <v xml:space="preserve"> </v>
      </c>
      <c r="AI269" s="501" t="str">
        <f>IF($C$178="ASHWOOD 17",'ASHWOOD 17'!$C$115," ")</f>
        <v xml:space="preserve"> </v>
      </c>
      <c r="AJ269" s="378" t="str">
        <f>IF($C$178="ASHWOOD 17",'ASHWOOD 17'!$D$115," ")</f>
        <v xml:space="preserve"> </v>
      </c>
      <c r="AK269" s="380"/>
      <c r="AL269" s="381"/>
      <c r="AM269" s="380"/>
      <c r="AN269" s="381"/>
      <c r="AO269" s="380"/>
      <c r="AP269" s="381"/>
      <c r="AQ269" s="380"/>
      <c r="AR269" s="381"/>
    </row>
    <row r="270" spans="2:44" ht="18" customHeight="1">
      <c r="B270" s="586"/>
      <c r="C270" s="587"/>
      <c r="D270" s="365">
        <f>_xlfn.XLOOKUP($B270,$AE$173:$AE$393,$AF$173:$AF$393)</f>
        <v>0</v>
      </c>
      <c r="E270" s="447"/>
      <c r="F270" s="363">
        <f t="shared" si="18"/>
        <v>0</v>
      </c>
      <c r="Q270" s="382"/>
      <c r="R270" s="504"/>
      <c r="S270" s="382"/>
      <c r="T270" s="382"/>
      <c r="U270" s="382"/>
      <c r="V270" s="382"/>
      <c r="W270" s="382"/>
      <c r="X270" s="382"/>
      <c r="Y270" s="382"/>
      <c r="Z270" s="382"/>
      <c r="AA270" s="382"/>
      <c r="AB270" s="382"/>
      <c r="AC270" s="382"/>
      <c r="AD270" s="382"/>
      <c r="AE270" s="382"/>
      <c r="AF270" s="382"/>
      <c r="AG270" s="501"/>
      <c r="AH270" s="378"/>
      <c r="AI270" s="501"/>
      <c r="AJ270" s="378"/>
      <c r="AK270" s="380"/>
      <c r="AL270" s="381"/>
      <c r="AM270" s="380"/>
      <c r="AN270" s="381"/>
      <c r="AO270" s="380"/>
      <c r="AP270" s="381"/>
      <c r="AQ270" s="380"/>
      <c r="AR270" s="381"/>
    </row>
    <row r="271" spans="2:44" ht="18" customHeight="1">
      <c r="B271" s="588" t="s">
        <v>1140</v>
      </c>
      <c r="C271" s="589"/>
      <c r="D271" s="589"/>
      <c r="E271" s="589"/>
      <c r="F271" s="590"/>
      <c r="Q271" s="382"/>
      <c r="R271" s="483"/>
      <c r="S271" s="382"/>
      <c r="T271" s="382"/>
      <c r="U271" s="382"/>
      <c r="V271" s="382"/>
      <c r="W271" s="382"/>
      <c r="X271" s="382"/>
      <c r="Y271" s="382"/>
      <c r="Z271" s="382"/>
      <c r="AA271" s="382"/>
      <c r="AB271" s="382"/>
      <c r="AC271" s="382"/>
      <c r="AD271" s="382"/>
      <c r="AE271" s="382"/>
      <c r="AF271" s="382"/>
      <c r="AG271" s="501" t="str">
        <f>IF($C$178="ASHWOOD 17",'ASHWOOD 17'!$C$96," ")</f>
        <v xml:space="preserve"> </v>
      </c>
      <c r="AH271" s="378" t="str">
        <f>IF($C$178="ASHWOOD 17",'ASHWOOD 17'!$D$96," ")</f>
        <v xml:space="preserve"> </v>
      </c>
      <c r="AI271" s="501" t="str">
        <f>IF($C$178="ASHWOOD 17",'ASHWOOD 17'!$C$116," ")</f>
        <v xml:space="preserve"> </v>
      </c>
      <c r="AJ271" s="378" t="str">
        <f>IF($C$178="ASHWOOD 17",'ASHWOOD 17'!$D$116," ")</f>
        <v xml:space="preserve"> </v>
      </c>
      <c r="AK271" s="380"/>
      <c r="AL271" s="381"/>
      <c r="AM271" s="380"/>
      <c r="AN271" s="381"/>
      <c r="AO271" s="380"/>
      <c r="AP271" s="381"/>
      <c r="AQ271" s="380"/>
      <c r="AR271" s="381"/>
    </row>
    <row r="272" spans="2:44" ht="18" customHeight="1">
      <c r="B272" s="586"/>
      <c r="C272" s="587"/>
      <c r="D272" s="365">
        <f t="shared" ref="D272:D289" si="19">_xlfn.XLOOKUP($B272,$AG$173:$AG$393,$AH$173:$AH$393)</f>
        <v>0</v>
      </c>
      <c r="E272" s="445"/>
      <c r="F272" s="363">
        <f>SUM(E272-D272)</f>
        <v>0</v>
      </c>
      <c r="Q272" s="382"/>
      <c r="R272" s="483"/>
      <c r="S272" s="382"/>
      <c r="T272" s="382"/>
      <c r="U272" s="382"/>
      <c r="V272" s="382"/>
      <c r="W272" s="382"/>
      <c r="X272" s="382"/>
      <c r="Y272" s="382"/>
      <c r="Z272" s="382"/>
      <c r="AA272" s="382"/>
      <c r="AB272" s="382"/>
      <c r="AC272" s="382"/>
      <c r="AD272" s="382"/>
      <c r="AE272" s="382"/>
      <c r="AF272" s="382"/>
      <c r="AG272" s="501" t="str">
        <f>IF($C$178="ASHWOOD 17",'ASHWOOD 17'!$C$97," ")</f>
        <v xml:space="preserve"> </v>
      </c>
      <c r="AH272" s="378" t="str">
        <f>IF($C$178="ASHWOOD 17",'ASHWOOD 17'!$D$97," ")</f>
        <v xml:space="preserve"> </v>
      </c>
      <c r="AI272" s="501" t="str">
        <f>IF($C$178="ASHWOOD 17",'ASHWOOD 17'!$C$117," ")</f>
        <v xml:space="preserve"> </v>
      </c>
      <c r="AJ272" s="378" t="str">
        <f>IF($C$178="ASHWOOD 17",'ASHWOOD 17'!$D$117," ")</f>
        <v xml:space="preserve"> </v>
      </c>
      <c r="AK272" s="380"/>
      <c r="AL272" s="381"/>
      <c r="AM272" s="380"/>
      <c r="AN272" s="381"/>
      <c r="AO272" s="380"/>
      <c r="AP272" s="381"/>
      <c r="AQ272" s="380"/>
      <c r="AR272" s="381"/>
    </row>
    <row r="273" spans="2:44" ht="18" customHeight="1">
      <c r="B273" s="586"/>
      <c r="C273" s="587"/>
      <c r="D273" s="365">
        <f t="shared" si="19"/>
        <v>0</v>
      </c>
      <c r="E273" s="445"/>
      <c r="F273" s="363">
        <f t="shared" ref="F273:F289" si="20">SUM(E273-D273)</f>
        <v>0</v>
      </c>
      <c r="Q273" s="382"/>
      <c r="R273" s="483"/>
      <c r="S273" s="382"/>
      <c r="T273" s="382"/>
      <c r="U273" s="382"/>
      <c r="V273" s="382"/>
      <c r="W273" s="382"/>
      <c r="X273" s="382"/>
      <c r="Y273" s="382"/>
      <c r="Z273" s="382"/>
      <c r="AA273" s="382"/>
      <c r="AB273" s="382"/>
      <c r="AC273" s="382"/>
      <c r="AD273" s="382"/>
      <c r="AE273" s="382"/>
      <c r="AF273" s="382"/>
      <c r="AG273" s="501" t="str">
        <f>IF($C$178="ASHWOOD 17",'ASHWOOD 17'!$C$98," ")</f>
        <v xml:space="preserve"> </v>
      </c>
      <c r="AH273" s="378" t="str">
        <f>IF($C$178="ASHWOOD 17",'ASHWOOD 17'!$D$98," ")</f>
        <v xml:space="preserve"> </v>
      </c>
      <c r="AI273" s="501" t="str">
        <f>IF($C$178="ASHWOOD 17",'ASHWOOD 17'!$C$118," ")</f>
        <v xml:space="preserve"> </v>
      </c>
      <c r="AJ273" s="378" t="str">
        <f>IF($C$178="ASHWOOD 17",'ASHWOOD 17'!$D$118," ")</f>
        <v xml:space="preserve"> </v>
      </c>
      <c r="AK273" s="380"/>
      <c r="AL273" s="381"/>
      <c r="AM273" s="380"/>
      <c r="AN273" s="381"/>
      <c r="AO273" s="380"/>
      <c r="AP273" s="381"/>
      <c r="AQ273" s="380"/>
      <c r="AR273" s="381"/>
    </row>
    <row r="274" spans="2:44" ht="18" customHeight="1">
      <c r="B274" s="586"/>
      <c r="C274" s="587"/>
      <c r="D274" s="365">
        <f t="shared" si="19"/>
        <v>0</v>
      </c>
      <c r="E274" s="445"/>
      <c r="F274" s="363">
        <f t="shared" si="20"/>
        <v>0</v>
      </c>
      <c r="Q274" s="382"/>
      <c r="R274" s="483"/>
      <c r="S274" s="382"/>
      <c r="T274" s="382"/>
      <c r="U274" s="382"/>
      <c r="V274" s="382"/>
      <c r="W274" s="382"/>
      <c r="X274" s="382"/>
      <c r="Y274" s="382"/>
      <c r="Z274" s="382"/>
      <c r="AA274" s="382"/>
      <c r="AB274" s="382"/>
      <c r="AC274" s="382"/>
      <c r="AD274" s="382"/>
      <c r="AE274" s="382"/>
      <c r="AF274" s="382"/>
      <c r="AH274" s="382"/>
      <c r="AI274" s="501" t="str">
        <f>IF($C$178="ASHWOOD 17",'ASHWOOD 17'!$C$119," ")</f>
        <v xml:space="preserve"> </v>
      </c>
      <c r="AJ274" s="378" t="str">
        <f>IF($C$178="ASHWOOD 17",'ASHWOOD 17'!$D$119," ")</f>
        <v xml:space="preserve"> </v>
      </c>
      <c r="AK274" s="380"/>
      <c r="AL274" s="381"/>
      <c r="AM274" s="380"/>
      <c r="AN274" s="381"/>
      <c r="AO274" s="380"/>
      <c r="AP274" s="381"/>
      <c r="AQ274" s="380"/>
      <c r="AR274" s="381"/>
    </row>
    <row r="275" spans="2:44" ht="18" customHeight="1">
      <c r="B275" s="586"/>
      <c r="C275" s="587"/>
      <c r="D275" s="365">
        <f t="shared" si="19"/>
        <v>0</v>
      </c>
      <c r="E275" s="445"/>
      <c r="F275" s="363">
        <f t="shared" si="20"/>
        <v>0</v>
      </c>
      <c r="Q275" s="382"/>
      <c r="R275" s="483"/>
      <c r="S275" s="382"/>
      <c r="T275" s="382"/>
      <c r="U275" s="382"/>
      <c r="V275" s="382"/>
      <c r="W275" s="382"/>
      <c r="X275" s="382"/>
      <c r="Y275" s="382"/>
      <c r="Z275" s="382"/>
      <c r="AA275" s="382"/>
      <c r="AB275" s="382"/>
      <c r="AC275" s="382"/>
      <c r="AD275" s="382"/>
      <c r="AE275" s="382"/>
      <c r="AF275" s="382"/>
      <c r="AG275" s="398"/>
      <c r="AH275" s="382"/>
      <c r="AI275" s="501" t="str">
        <f>IF($C$178="ASHWOOD 17",'ASHWOOD 17'!$C$120," ")</f>
        <v xml:space="preserve"> </v>
      </c>
      <c r="AJ275" s="378" t="str">
        <f>IF($C$178="ASHWOOD 17",'ASHWOOD 17'!$D$120," ")</f>
        <v xml:space="preserve"> </v>
      </c>
      <c r="AK275" s="380"/>
      <c r="AL275" s="381"/>
      <c r="AM275" s="380"/>
      <c r="AN275" s="381"/>
      <c r="AO275" s="380"/>
      <c r="AP275" s="381"/>
      <c r="AQ275" s="380"/>
      <c r="AR275" s="381"/>
    </row>
    <row r="276" spans="2:44" ht="18" customHeight="1">
      <c r="B276" s="586"/>
      <c r="C276" s="587"/>
      <c r="D276" s="365">
        <f t="shared" si="19"/>
        <v>0</v>
      </c>
      <c r="E276" s="445"/>
      <c r="F276" s="363">
        <f t="shared" si="20"/>
        <v>0</v>
      </c>
      <c r="Q276" s="382"/>
      <c r="R276" s="483"/>
      <c r="S276" s="382"/>
      <c r="T276" s="382"/>
      <c r="U276" s="382"/>
      <c r="V276" s="382"/>
      <c r="W276" s="382"/>
      <c r="X276" s="382"/>
      <c r="Y276" s="382"/>
      <c r="Z276" s="382"/>
      <c r="AA276" s="382"/>
      <c r="AB276" s="382"/>
      <c r="AC276" s="382"/>
      <c r="AD276" s="382"/>
      <c r="AE276" s="382"/>
      <c r="AF276" s="382"/>
      <c r="AG276" s="398"/>
      <c r="AH276" s="382"/>
      <c r="AI276" s="501" t="str">
        <f>IF($C$178="ASHWOOD 17",'ASHWOOD 17'!$C$121," ")</f>
        <v xml:space="preserve"> </v>
      </c>
      <c r="AJ276" s="378" t="str">
        <f>IF($C$178="ASHWOOD 17",'ASHWOOD 17'!$D$121," ")</f>
        <v xml:space="preserve"> </v>
      </c>
      <c r="AK276" s="380"/>
      <c r="AL276" s="381"/>
      <c r="AM276" s="380"/>
      <c r="AN276" s="381"/>
      <c r="AO276" s="380"/>
      <c r="AP276" s="381"/>
      <c r="AQ276" s="380"/>
      <c r="AR276" s="381"/>
    </row>
    <row r="277" spans="2:44" ht="18" customHeight="1">
      <c r="B277" s="586"/>
      <c r="C277" s="587"/>
      <c r="D277" s="365">
        <f t="shared" si="19"/>
        <v>0</v>
      </c>
      <c r="E277" s="445"/>
      <c r="F277" s="363">
        <f t="shared" si="20"/>
        <v>0</v>
      </c>
      <c r="Q277" s="382"/>
      <c r="R277" s="483"/>
      <c r="S277" s="382"/>
      <c r="T277" s="382"/>
      <c r="U277" s="382"/>
      <c r="V277" s="382"/>
      <c r="W277" s="382"/>
      <c r="X277" s="382"/>
      <c r="Y277" s="382"/>
      <c r="Z277" s="382"/>
      <c r="AA277" s="382"/>
      <c r="AB277" s="382"/>
      <c r="AC277" s="382"/>
      <c r="AD277" s="382"/>
      <c r="AE277" s="382"/>
      <c r="AF277" s="382"/>
      <c r="AG277" s="398"/>
      <c r="AH277" s="382"/>
      <c r="AI277" s="501" t="str">
        <f>IF($C$178="ASHWOOD 17",'ASHWOOD 17'!$C$122," ")</f>
        <v xml:space="preserve"> </v>
      </c>
      <c r="AJ277" s="378" t="str">
        <f>IF($C$178="ASHWOOD 17",'ASHWOOD 17'!$D$122," ")</f>
        <v xml:space="preserve"> </v>
      </c>
      <c r="AK277" s="380"/>
      <c r="AL277" s="381"/>
      <c r="AM277" s="380"/>
      <c r="AN277" s="381"/>
      <c r="AO277" s="380"/>
      <c r="AP277" s="381"/>
      <c r="AQ277" s="380"/>
      <c r="AR277" s="381"/>
    </row>
    <row r="278" spans="2:44" ht="18" customHeight="1">
      <c r="B278" s="586"/>
      <c r="C278" s="587"/>
      <c r="D278" s="365">
        <f t="shared" si="19"/>
        <v>0</v>
      </c>
      <c r="E278" s="445"/>
      <c r="F278" s="363">
        <f t="shared" si="20"/>
        <v>0</v>
      </c>
      <c r="Q278" s="382"/>
      <c r="R278" s="483"/>
      <c r="S278" s="382"/>
      <c r="T278" s="382"/>
      <c r="U278" s="382"/>
      <c r="V278" s="382"/>
      <c r="W278" s="382"/>
      <c r="X278" s="382"/>
      <c r="Y278" s="382"/>
      <c r="Z278" s="382"/>
      <c r="AA278" s="382"/>
      <c r="AB278" s="382"/>
      <c r="AC278" s="382"/>
      <c r="AD278" s="382"/>
      <c r="AE278" s="382"/>
      <c r="AF278" s="382"/>
      <c r="AG278" s="398"/>
      <c r="AH278" s="382"/>
      <c r="AI278" s="501" t="str">
        <f>IF($C$178="ASHWOOD 17",'ASHWOOD 17'!$C$123," ")</f>
        <v xml:space="preserve"> </v>
      </c>
      <c r="AJ278" s="378" t="str">
        <f>IF($C$178="ASHWOOD 17",'ASHWOOD 17'!$D$123," ")</f>
        <v xml:space="preserve"> </v>
      </c>
      <c r="AK278" s="380"/>
      <c r="AL278" s="381"/>
      <c r="AM278" s="380"/>
      <c r="AN278" s="381"/>
      <c r="AO278" s="380"/>
      <c r="AP278" s="381"/>
      <c r="AQ278" s="380"/>
      <c r="AR278" s="381"/>
    </row>
    <row r="279" spans="2:44" ht="18" customHeight="1">
      <c r="B279" s="586"/>
      <c r="C279" s="587"/>
      <c r="D279" s="365">
        <f t="shared" si="19"/>
        <v>0</v>
      </c>
      <c r="E279" s="445"/>
      <c r="F279" s="363">
        <f t="shared" si="20"/>
        <v>0</v>
      </c>
      <c r="Q279" s="382"/>
      <c r="R279" s="483"/>
      <c r="S279" s="382"/>
      <c r="T279" s="382"/>
      <c r="U279" s="382"/>
      <c r="V279" s="382"/>
      <c r="W279" s="382"/>
      <c r="X279" s="382"/>
      <c r="Y279" s="382"/>
      <c r="Z279" s="382"/>
      <c r="AA279" s="382"/>
      <c r="AB279" s="382"/>
      <c r="AC279" s="382"/>
      <c r="AD279" s="382"/>
      <c r="AE279" s="382"/>
      <c r="AF279" s="382"/>
      <c r="AG279" s="398"/>
      <c r="AH279" s="382"/>
      <c r="AI279" s="501" t="str">
        <f>IF($C$178="ASHWOOD 17",'ASHWOOD 17'!$C$124," ")</f>
        <v xml:space="preserve"> </v>
      </c>
      <c r="AJ279" s="378" t="str">
        <f>IF($C$178="ASHWOOD 17",'ASHWOOD 17'!$D$124," ")</f>
        <v xml:space="preserve"> </v>
      </c>
      <c r="AK279" s="382"/>
      <c r="AL279" s="382"/>
      <c r="AM279" s="382"/>
      <c r="AN279" s="382"/>
      <c r="AO279" s="382"/>
      <c r="AP279" s="382"/>
      <c r="AQ279" s="382"/>
      <c r="AR279" s="382"/>
    </row>
    <row r="280" spans="2:44" ht="18" customHeight="1">
      <c r="B280" s="586"/>
      <c r="C280" s="587"/>
      <c r="D280" s="365">
        <f t="shared" si="19"/>
        <v>0</v>
      </c>
      <c r="E280" s="445"/>
      <c r="F280" s="363">
        <f t="shared" si="20"/>
        <v>0</v>
      </c>
      <c r="Q280" s="382"/>
      <c r="R280" s="483"/>
      <c r="S280" s="382"/>
      <c r="T280" s="382"/>
      <c r="U280" s="382"/>
      <c r="V280" s="382"/>
      <c r="W280" s="382"/>
      <c r="X280" s="382"/>
      <c r="Y280" s="382"/>
      <c r="Z280" s="382"/>
      <c r="AA280" s="382"/>
      <c r="AB280" s="382"/>
      <c r="AC280" s="382"/>
      <c r="AD280" s="382"/>
      <c r="AE280" s="382"/>
      <c r="AF280" s="382"/>
      <c r="AG280" s="398"/>
      <c r="AH280" s="382"/>
      <c r="AI280" s="501" t="str">
        <f>IF($C$178="ASHWOOD 17",'ASHWOOD 17'!$C$125," ")</f>
        <v xml:space="preserve"> </v>
      </c>
      <c r="AJ280" s="378" t="str">
        <f>IF($C$178="ASHWOOD 17",'ASHWOOD 17'!$D$125," ")</f>
        <v xml:space="preserve"> </v>
      </c>
      <c r="AK280" s="382"/>
      <c r="AL280" s="382"/>
      <c r="AM280" s="382"/>
      <c r="AN280" s="382"/>
      <c r="AO280" s="382"/>
      <c r="AP280" s="382"/>
      <c r="AQ280" s="382"/>
      <c r="AR280" s="382"/>
    </row>
    <row r="281" spans="2:44" ht="18" customHeight="1">
      <c r="B281" s="586"/>
      <c r="C281" s="587"/>
      <c r="D281" s="365">
        <f t="shared" si="19"/>
        <v>0</v>
      </c>
      <c r="E281" s="445"/>
      <c r="F281" s="363">
        <f t="shared" si="20"/>
        <v>0</v>
      </c>
      <c r="Q281" s="374" t="str">
        <f>IF($C$178="ASHWOOD 20",'ASHWOOD 20'!$C$4," ")</f>
        <v xml:space="preserve"> </v>
      </c>
      <c r="R281" s="375" t="str">
        <f>IF($C$178="ASHWOOD 20",'ASHWOOD 20'!$D$4," ")</f>
        <v xml:space="preserve"> </v>
      </c>
      <c r="S281" s="374" t="str">
        <f>IF($C$178="ASHWOOD 20",'ASHWOOD 20'!$C$18," ")</f>
        <v xml:space="preserve"> </v>
      </c>
      <c r="T281" s="375" t="str">
        <f>IF($C$178="ASHWOOD 20",'ASHWOOD 20'!$D$18," ")</f>
        <v xml:space="preserve"> </v>
      </c>
      <c r="U281" s="374" t="str">
        <f>IF($C$178="ASHWOOD 20",'ASHWOOD 20'!$C$30," ")</f>
        <v xml:space="preserve"> </v>
      </c>
      <c r="V281" s="375" t="str">
        <f>IF($C$178="ASHWOOD 20",'ASHWOOD 20'!$D$30," ")</f>
        <v xml:space="preserve"> </v>
      </c>
      <c r="W281" s="374" t="str">
        <f>IF($C$178="ASHWOOD 20",'ASHWOOD 20'!$C$43," ")</f>
        <v xml:space="preserve"> </v>
      </c>
      <c r="X281" s="375" t="str">
        <f>IF($C$178="ASHWOOD 20",'ASHWOOD 20'!$D$43," ")</f>
        <v xml:space="preserve"> </v>
      </c>
      <c r="Y281" s="374" t="str">
        <f>IF($C$178="ASHWOOD 20",'ASHWOOD 20'!$C$53," ")</f>
        <v xml:space="preserve"> </v>
      </c>
      <c r="Z281" s="375" t="str">
        <f>IF($C$178="ASHWOOD 20",'ASHWOOD 20'!$D$53," ")</f>
        <v xml:space="preserve"> </v>
      </c>
      <c r="AA281" s="374" t="str">
        <f>IF($C$178="ASHWOOD 20",'ASHWOOD 20'!$C$61," ")</f>
        <v xml:space="preserve"> </v>
      </c>
      <c r="AB281" s="375" t="str">
        <f>IF($C$178="ASHWOOD 20",'ASHWOOD 20'!$D$61," ")</f>
        <v xml:space="preserve"> </v>
      </c>
      <c r="AC281" s="374" t="str">
        <f>IF($C$178="ASHWOOD 20",'ASHWOOD 20'!$C$67," ")</f>
        <v xml:space="preserve"> </v>
      </c>
      <c r="AD281" s="375" t="str">
        <f>IF($C$178="ASHWOOD 20",'ASHWOOD 20'!$D$67," ")</f>
        <v xml:space="preserve"> </v>
      </c>
      <c r="AE281" s="374" t="str">
        <f>IF($C$178="ASHWOOD 20",'ASHWOOD 20'!$C$76," ")</f>
        <v xml:space="preserve"> </v>
      </c>
      <c r="AF281" s="375" t="str">
        <f>IF($C$178="ASHWOOD 20",'ASHWOOD 20'!$D$76," ")</f>
        <v xml:space="preserve"> </v>
      </c>
      <c r="AG281" s="500" t="str">
        <f>IF($C$178="ASHWOOD 20",'ASHWOOD 20'!$C$81," ")</f>
        <v xml:space="preserve"> </v>
      </c>
      <c r="AH281" s="375" t="str">
        <f>IF($C$178="ASHWOOD 20",'ASHWOOD 20'!$D$81," ")</f>
        <v xml:space="preserve"> </v>
      </c>
      <c r="AI281" s="500" t="str">
        <f>IF($C$178="ASHWOOD 20",'ASHWOOD 20'!$C$101," ")</f>
        <v xml:space="preserve"> </v>
      </c>
      <c r="AJ281" s="375" t="str">
        <f>IF($C$178="ASHWOOD 20",'ASHWOOD 20'!$D$101," ")</f>
        <v xml:space="preserve"> </v>
      </c>
      <c r="AK281" s="374" t="str">
        <f>IF($C$178="ASHWOOD 20",'ASHWOOD 20'!$C$128," ")</f>
        <v xml:space="preserve"> </v>
      </c>
      <c r="AL281" s="375" t="str">
        <f>IF($C$178="ASHWOOD 20",'ASHWOOD 20'!$D$128," ")</f>
        <v xml:space="preserve"> </v>
      </c>
      <c r="AM281" s="374" t="str">
        <f>IF($C$178="ASHWOOD 20",'ASHWOOD 20'!$C$137," ")</f>
        <v xml:space="preserve"> </v>
      </c>
      <c r="AN281" s="375" t="str">
        <f>IF($C$178="ASHWOOD 20",'ASHWOOD 20'!$D$137," ")</f>
        <v xml:space="preserve"> </v>
      </c>
      <c r="AO281" s="374" t="str">
        <f>IF($C$178="ASHWOOD 20",'ASHWOOD 20'!$C$151," ")</f>
        <v xml:space="preserve"> </v>
      </c>
      <c r="AP281" s="375" t="str">
        <f>IF($C$178="ASHWOOD 20",'ASHWOOD 20'!$D$151," ")</f>
        <v xml:space="preserve"> </v>
      </c>
      <c r="AQ281" s="374" t="str">
        <f>IF($C$178="ASHWOOD 20",'ASHWOOD 20'!$C$158," ")</f>
        <v xml:space="preserve"> </v>
      </c>
      <c r="AR281" s="375" t="str">
        <f>IF($C$178="ASHWOOD 20",'ASHWOOD 20'!$D$158," ")</f>
        <v xml:space="preserve"> </v>
      </c>
    </row>
    <row r="282" spans="2:44" ht="18" customHeight="1">
      <c r="B282" s="586"/>
      <c r="C282" s="587"/>
      <c r="D282" s="365">
        <f t="shared" si="19"/>
        <v>0</v>
      </c>
      <c r="E282" s="445"/>
      <c r="F282" s="363">
        <f t="shared" si="20"/>
        <v>0</v>
      </c>
      <c r="Q282" s="377" t="str">
        <f>IF($C$178="ASHWOOD 20",'ASHWOOD 20'!$C$5," ")</f>
        <v xml:space="preserve"> </v>
      </c>
      <c r="R282" s="378" t="str">
        <f>IF($C$178="ASHWOOD 20",'ASHWOOD 20'!$D$5," ")</f>
        <v xml:space="preserve"> </v>
      </c>
      <c r="S282" s="377" t="str">
        <f>IF($C$178="ASHWOOD 20",'ASHWOOD 20'!$C$19," ")</f>
        <v xml:space="preserve"> </v>
      </c>
      <c r="T282" s="378" t="str">
        <f>IF($C$178="ASHWOOD 20",'ASHWOOD 20'!$D$19," ")</f>
        <v xml:space="preserve"> </v>
      </c>
      <c r="U282" s="377" t="str">
        <f>IF($C$178="ASHWOOD 20",'ASHWOOD 20'!$C$31," ")</f>
        <v xml:space="preserve"> </v>
      </c>
      <c r="V282" s="378" t="str">
        <f>IF($C$178="ASHWOOD 20",'ASHWOOD 20'!$D$31," ")</f>
        <v xml:space="preserve"> </v>
      </c>
      <c r="W282" s="377" t="str">
        <f>IF($C$178="ASHWOOD 20",'ASHWOOD 20'!$C$44," ")</f>
        <v xml:space="preserve"> </v>
      </c>
      <c r="X282" s="378" t="str">
        <f>IF($C$178="ASHWOOD 20",'ASHWOOD 20'!$D$44," ")</f>
        <v xml:space="preserve"> </v>
      </c>
      <c r="Y282" s="377" t="str">
        <f>IF($C$178="ASHWOOD 20",'ASHWOOD 20'!$C$54," ")</f>
        <v xml:space="preserve"> </v>
      </c>
      <c r="Z282" s="378" t="str">
        <f>IF($C$178="ASHWOOD 20",'ASHWOOD 20'!$D$54," ")</f>
        <v xml:space="preserve"> </v>
      </c>
      <c r="AA282" s="377" t="str">
        <f>IF($C$178="ASHWOOD 20",'ASHWOOD 20'!$C$62," ")</f>
        <v xml:space="preserve"> </v>
      </c>
      <c r="AB282" s="378" t="str">
        <f>IF($C$178="ASHWOOD 20",'ASHWOOD 20'!$D$62," ")</f>
        <v xml:space="preserve"> </v>
      </c>
      <c r="AC282" s="377" t="str">
        <f>IF($C$178="ASHWOOD 20",'ASHWOOD 20'!$C$68," ")</f>
        <v xml:space="preserve"> </v>
      </c>
      <c r="AD282" s="378" t="str">
        <f>IF($C$178="ASHWOOD 20",'ASHWOOD 20'!$D$68," ")</f>
        <v xml:space="preserve"> </v>
      </c>
      <c r="AE282" s="377" t="str">
        <f>IF($C$178="ASHWOOD 20",'ASHWOOD 20'!$C$77," ")</f>
        <v xml:space="preserve"> </v>
      </c>
      <c r="AF282" s="378" t="str">
        <f>IF($C$178="ASHWOOD 20",'ASHWOOD 20'!$D$77," ")</f>
        <v xml:space="preserve"> </v>
      </c>
      <c r="AG282" s="501" t="str">
        <f>IF($C$178="ASHWOOD 20",'ASHWOOD 20'!$C$82," ")</f>
        <v xml:space="preserve"> </v>
      </c>
      <c r="AH282" s="378" t="str">
        <f>IF($C$178="ASHWOOD 20",'ASHWOOD 20'!$D$82," ")</f>
        <v xml:space="preserve"> </v>
      </c>
      <c r="AI282" s="501" t="str">
        <f>IF($C$178="ASHWOOD 20",'ASHWOOD 20'!$C$102," ")</f>
        <v xml:space="preserve"> </v>
      </c>
      <c r="AJ282" s="378" t="str">
        <f>IF($C$178="ASHWOOD 20",'ASHWOOD 20'!$D$102," ")</f>
        <v xml:space="preserve"> </v>
      </c>
      <c r="AK282" s="377" t="str">
        <f>IF($C$178="ASHWOOD 20",'ASHWOOD 20'!$C$129," ")</f>
        <v xml:space="preserve"> </v>
      </c>
      <c r="AL282" s="378" t="str">
        <f>IF($C$178="ASHWOOD 20",'ASHWOOD 20'!$D$129," ")</f>
        <v xml:space="preserve"> </v>
      </c>
      <c r="AM282" s="377" t="str">
        <f>IF($C$178="ASHWOOD 20",'ASHWOOD 20'!$C$138," ")</f>
        <v xml:space="preserve"> </v>
      </c>
      <c r="AN282" s="378" t="str">
        <f>IF($C$178="ASHWOOD 20",'ASHWOOD 20'!$D$138," ")</f>
        <v xml:space="preserve"> </v>
      </c>
      <c r="AO282" s="377" t="str">
        <f>IF($C$178="ASHWOOD 20",'ASHWOOD 20'!$C$152," ")</f>
        <v xml:space="preserve"> </v>
      </c>
      <c r="AP282" s="378" t="str">
        <f>IF($C$178="ASHWOOD 20",'ASHWOOD 20'!$D$152," ")</f>
        <v xml:space="preserve"> </v>
      </c>
      <c r="AQ282" s="377" t="str">
        <f>IF($C$178="ASHWOOD 20",'ASHWOOD 20'!$C$159," ")</f>
        <v xml:space="preserve"> </v>
      </c>
      <c r="AR282" s="378" t="str">
        <f>IF($C$178="ASHWOOD 20",'ASHWOOD 20'!$D$159," ")</f>
        <v xml:space="preserve"> </v>
      </c>
    </row>
    <row r="283" spans="2:44" ht="18" customHeight="1">
      <c r="B283" s="586"/>
      <c r="C283" s="587"/>
      <c r="D283" s="365">
        <f t="shared" si="19"/>
        <v>0</v>
      </c>
      <c r="E283" s="445"/>
      <c r="F283" s="363">
        <f t="shared" si="20"/>
        <v>0</v>
      </c>
      <c r="Q283" s="377" t="str">
        <f>IF($C$178="ASHWOOD 20",'ASHWOOD 20'!$C$6," ")</f>
        <v xml:space="preserve"> </v>
      </c>
      <c r="R283" s="378" t="str">
        <f>IF($C$178="ASHWOOD 20",'ASHWOOD 20'!$D$6," ")</f>
        <v xml:space="preserve"> </v>
      </c>
      <c r="S283" s="377" t="str">
        <f>IF($C$178="ASHWOOD 20",'ASHWOOD 20'!$C$20," ")</f>
        <v xml:space="preserve"> </v>
      </c>
      <c r="T283" s="378" t="str">
        <f>IF($C$178="ASHWOOD 20",'ASHWOOD 20'!$D$20," ")</f>
        <v xml:space="preserve"> </v>
      </c>
      <c r="U283" s="377" t="str">
        <f>IF($C$178="ASHWOOD 20",'ASHWOOD 20'!$C$32," ")</f>
        <v xml:space="preserve"> </v>
      </c>
      <c r="V283" s="378" t="str">
        <f>IF($C$178="ASHWOOD 20",'ASHWOOD 20'!$D$32," ")</f>
        <v xml:space="preserve"> </v>
      </c>
      <c r="W283" s="377" t="str">
        <f>IF($C$178="ASHWOOD 20",'ASHWOOD 20'!$C$45," ")</f>
        <v xml:space="preserve"> </v>
      </c>
      <c r="X283" s="378" t="str">
        <f>IF($C$178="ASHWOOD 20",'ASHWOOD 20'!$D$45," ")</f>
        <v xml:space="preserve"> </v>
      </c>
      <c r="Y283" s="377" t="str">
        <f>IF($C$178="ASHWOOD 20",'ASHWOOD 20'!$C$55," ")</f>
        <v xml:space="preserve"> </v>
      </c>
      <c r="Z283" s="378" t="str">
        <f>IF($C$178="ASHWOOD 20",'ASHWOOD 20'!$D$55," ")</f>
        <v xml:space="preserve"> </v>
      </c>
      <c r="AA283" s="377" t="str">
        <f>IF($C$178="ASHWOOD 20",'ASHWOOD 20'!$C$63," ")</f>
        <v xml:space="preserve"> </v>
      </c>
      <c r="AB283" s="378" t="str">
        <f>IF($C$178="ASHWOOD 20",'ASHWOOD 20'!$D$63," ")</f>
        <v xml:space="preserve"> </v>
      </c>
      <c r="AC283" s="377" t="str">
        <f>IF($C$178="ASHWOOD 20",'ASHWOOD 20'!$C$69," ")</f>
        <v xml:space="preserve"> </v>
      </c>
      <c r="AD283" s="378" t="str">
        <f>IF($C$178="ASHWOOD 20",'ASHWOOD 20'!$D$69," ")</f>
        <v xml:space="preserve"> </v>
      </c>
      <c r="AE283" s="377" t="str">
        <f>IF($C$178="ASHWOOD 20",'ASHWOOD 20'!$C$78," ")</f>
        <v xml:space="preserve"> </v>
      </c>
      <c r="AF283" s="378" t="str">
        <f>IF($C$178="ASHWOOD 20",'ASHWOOD 20'!$D$78," ")</f>
        <v xml:space="preserve"> </v>
      </c>
      <c r="AG283" s="501" t="str">
        <f>IF($C$178="ASHWOOD 20",'ASHWOOD 20'!$C$83," ")</f>
        <v xml:space="preserve"> </v>
      </c>
      <c r="AH283" s="378" t="str">
        <f>IF($C$178="ASHWOOD 20",'ASHWOOD 20'!$D$83," ")</f>
        <v xml:space="preserve"> </v>
      </c>
      <c r="AI283" s="501" t="str">
        <f>IF($C$178="ASHWOOD 20",'ASHWOOD 20'!$C$103," ")</f>
        <v xml:space="preserve"> </v>
      </c>
      <c r="AJ283" s="378" t="str">
        <f>IF($C$178="ASHWOOD 20",'ASHWOOD 20'!$D$103," ")</f>
        <v xml:space="preserve"> </v>
      </c>
      <c r="AK283" s="377" t="str">
        <f>IF($C$178="ASHWOOD 20",'ASHWOOD 20'!$C$130," ")</f>
        <v xml:space="preserve"> </v>
      </c>
      <c r="AL283" s="378" t="str">
        <f>IF($C$178="ASHWOOD 20",'ASHWOOD 20'!$D$130," ")</f>
        <v xml:space="preserve"> </v>
      </c>
      <c r="AM283" s="377" t="str">
        <f>IF($C$178="ASHWOOD 20",'ASHWOOD 20'!$C$139," ")</f>
        <v xml:space="preserve"> </v>
      </c>
      <c r="AN283" s="378" t="str">
        <f>IF($C$178="ASHWOOD 20",'ASHWOOD 20'!$D$139," ")</f>
        <v xml:space="preserve"> </v>
      </c>
      <c r="AO283" s="377" t="str">
        <f>IF($C$178="ASHWOOD 20",'ASHWOOD 20'!$C$153," ")</f>
        <v xml:space="preserve"> </v>
      </c>
      <c r="AP283" s="378" t="str">
        <f>IF($C$178="ASHWOOD 20",'ASHWOOD 20'!$D$153," ")</f>
        <v xml:space="preserve"> </v>
      </c>
      <c r="AQ283" s="377" t="str">
        <f>IF($C$178="ASHWOOD 20",'ASHWOOD 20'!$C$160," ")</f>
        <v xml:space="preserve"> </v>
      </c>
      <c r="AR283" s="378" t="str">
        <f>IF($C$178="ASHWOOD 20",'ASHWOOD 20'!$D$160," ")</f>
        <v xml:space="preserve"> </v>
      </c>
    </row>
    <row r="284" spans="2:44" ht="18" customHeight="1">
      <c r="B284" s="586"/>
      <c r="C284" s="587"/>
      <c r="D284" s="365">
        <f t="shared" si="19"/>
        <v>0</v>
      </c>
      <c r="E284" s="445"/>
      <c r="F284" s="363">
        <f t="shared" si="20"/>
        <v>0</v>
      </c>
      <c r="Q284" s="377" t="str">
        <f>IF($C$178="ASHWOOD 20",'ASHWOOD 20'!$C$7," ")</f>
        <v xml:space="preserve"> </v>
      </c>
      <c r="R284" s="378" t="str">
        <f>IF($C$178="ASHWOOD 20",'ASHWOOD 20'!$D$7," ")</f>
        <v xml:space="preserve"> </v>
      </c>
      <c r="S284" s="377" t="str">
        <f>IF($C$178="ASHWOOD 20",'ASHWOOD 20'!$C$21," ")</f>
        <v xml:space="preserve"> </v>
      </c>
      <c r="T284" s="378" t="str">
        <f>IF($C$178="ASHWOOD 20",'ASHWOOD 20'!$D$21," ")</f>
        <v xml:space="preserve"> </v>
      </c>
      <c r="U284" s="377" t="str">
        <f>IF($C$178="ASHWOOD 20",'ASHWOOD 20'!$C$33," ")</f>
        <v xml:space="preserve"> </v>
      </c>
      <c r="V284" s="378" t="str">
        <f>IF($C$178="ASHWOOD 20",'ASHWOOD 20'!$D$33," ")</f>
        <v xml:space="preserve"> </v>
      </c>
      <c r="W284" s="377" t="str">
        <f>IF($C$178="ASHWOOD 20",'ASHWOOD 20'!$C$46," ")</f>
        <v xml:space="preserve"> </v>
      </c>
      <c r="X284" s="378" t="str">
        <f>IF($C$178="ASHWOOD 20",'ASHWOOD 20'!$D$46," ")</f>
        <v xml:space="preserve"> </v>
      </c>
      <c r="Y284" s="377" t="str">
        <f>IF($C$178="ASHWOOD 20",'ASHWOOD 20'!$C$56," ")</f>
        <v xml:space="preserve"> </v>
      </c>
      <c r="Z284" s="378" t="str">
        <f>IF($C$178="ASHWOOD 20",'ASHWOOD 20'!$D$56," ")</f>
        <v xml:space="preserve"> </v>
      </c>
      <c r="AA284" s="380"/>
      <c r="AB284" s="381"/>
      <c r="AC284" s="377" t="str">
        <f>IF($C$178="ASHWOOD 20",'ASHWOOD 20'!$C$70," ")</f>
        <v xml:space="preserve"> </v>
      </c>
      <c r="AD284" s="378" t="str">
        <f>IF($C$178="ASHWOOD 20",'ASHWOOD 20'!$D$70," ")</f>
        <v xml:space="preserve"> </v>
      </c>
      <c r="AE284" s="382"/>
      <c r="AF284" s="382"/>
      <c r="AG284" s="501" t="str">
        <f>IF($C$178="ASHWOOD 20",'ASHWOOD 20'!$C$84," ")</f>
        <v xml:space="preserve"> </v>
      </c>
      <c r="AH284" s="378" t="str">
        <f>IF($C$178="ASHWOOD 20",'ASHWOOD 20'!$D$84," ")</f>
        <v xml:space="preserve"> </v>
      </c>
      <c r="AI284" s="501" t="str">
        <f>IF($C$178="ASHWOOD 20",'ASHWOOD 20'!$C$104," ")</f>
        <v xml:space="preserve"> </v>
      </c>
      <c r="AJ284" s="378" t="str">
        <f>IF($C$178="ASHWOOD 20",'ASHWOOD 20'!$D$104," ")</f>
        <v xml:space="preserve"> </v>
      </c>
      <c r="AK284" s="377" t="str">
        <f>IF($C$178="ASHWOOD 20",'ASHWOOD 20'!$C$131," ")</f>
        <v xml:space="preserve"> </v>
      </c>
      <c r="AL284" s="378" t="str">
        <f>IF($C$178="ASHWOOD 20",'ASHWOOD 20'!$D$131," ")</f>
        <v xml:space="preserve"> </v>
      </c>
      <c r="AM284" s="377" t="str">
        <f>IF($C$178="ASHWOOD 20",'ASHWOOD 20'!$C$140," ")</f>
        <v xml:space="preserve"> </v>
      </c>
      <c r="AN284" s="378" t="str">
        <f>IF($C$178="ASHWOOD 20",'ASHWOOD 20'!$D$140," ")</f>
        <v xml:space="preserve"> </v>
      </c>
      <c r="AO284" s="377" t="str">
        <f>IF($C$178="ASHWOOD 20",'ASHWOOD 20'!$C$154," ")</f>
        <v xml:space="preserve"> </v>
      </c>
      <c r="AP284" s="378" t="str">
        <f>IF($C$178="ASHWOOD 20",'ASHWOOD 20'!$D$154," ")</f>
        <v xml:space="preserve"> </v>
      </c>
      <c r="AQ284" s="377" t="str">
        <f>IF($C$178="ASHWOOD 20",'ASHWOOD 20'!$C$161," ")</f>
        <v xml:space="preserve"> </v>
      </c>
      <c r="AR284" s="378" t="str">
        <f>IF($C$178="ASHWOOD 20",'ASHWOOD 20'!$D$161," ")</f>
        <v xml:space="preserve"> </v>
      </c>
    </row>
    <row r="285" spans="2:44" ht="18" customHeight="1">
      <c r="B285" s="586"/>
      <c r="C285" s="587"/>
      <c r="D285" s="365">
        <f t="shared" si="19"/>
        <v>0</v>
      </c>
      <c r="E285" s="445"/>
      <c r="F285" s="363">
        <f t="shared" si="20"/>
        <v>0</v>
      </c>
      <c r="Q285" s="377" t="str">
        <f>IF($C$178="ASHWOOD 20",'ASHWOOD 20'!$C$8," ")</f>
        <v xml:space="preserve"> </v>
      </c>
      <c r="R285" s="378" t="str">
        <f>IF($C$178="ASHWOOD 20",'ASHWOOD 20'!$D$8," ")</f>
        <v xml:space="preserve"> </v>
      </c>
      <c r="S285" s="377" t="str">
        <f>IF($C$178="ASHWOOD 20",'ASHWOOD 20'!$C$22," ")</f>
        <v xml:space="preserve"> </v>
      </c>
      <c r="T285" s="378" t="str">
        <f>IF($C$178="ASHWOOD 20",'ASHWOOD 20'!$D$22," ")</f>
        <v xml:space="preserve"> </v>
      </c>
      <c r="U285" s="377" t="str">
        <f>IF($C$178="ASHWOOD 20",'ASHWOOD 20'!$C$34," ")</f>
        <v xml:space="preserve"> </v>
      </c>
      <c r="V285" s="378" t="str">
        <f>IF($C$178="ASHWOOD 20",'ASHWOOD 20'!$D$34," ")</f>
        <v xml:space="preserve"> </v>
      </c>
      <c r="W285" s="377" t="str">
        <f>IF($C$178="ASHWOOD 20",'ASHWOOD 20'!$C$47," ")</f>
        <v xml:space="preserve"> </v>
      </c>
      <c r="X285" s="378" t="str">
        <f>IF($C$178="ASHWOOD 20",'ASHWOOD 20'!$D$47," ")</f>
        <v xml:space="preserve"> </v>
      </c>
      <c r="Y285" s="377" t="str">
        <f>IF($C$178="ASHWOOD 20",'ASHWOOD 20'!$C$57," ")</f>
        <v xml:space="preserve"> </v>
      </c>
      <c r="Z285" s="378" t="str">
        <f>IF($C$178="ASHWOOD 20",'ASHWOOD 20'!$D$57," ")</f>
        <v xml:space="preserve"> </v>
      </c>
      <c r="AA285" s="380"/>
      <c r="AB285" s="381"/>
      <c r="AC285" s="377" t="str">
        <f>IF($C$178="ASHWOOD 20",'ASHWOOD 20'!$C$71," ")</f>
        <v xml:space="preserve"> </v>
      </c>
      <c r="AD285" s="378" t="str">
        <f>IF($C$178="ASHWOOD 20",'ASHWOOD 20'!$D$71," ")</f>
        <v xml:space="preserve"> </v>
      </c>
      <c r="AE285" s="382"/>
      <c r="AF285" s="382"/>
      <c r="AG285" s="501" t="str">
        <f>IF($C$178="ASHWOOD 20",'ASHWOOD 20'!$C$85," ")</f>
        <v xml:space="preserve"> </v>
      </c>
      <c r="AH285" s="378" t="str">
        <f>IF($C$178="ASHWOOD 20",'ASHWOOD 20'!$D$85," ")</f>
        <v xml:space="preserve"> </v>
      </c>
      <c r="AI285" s="501" t="str">
        <f>IF($C$178="ASHWOOD 20",'ASHWOOD 20'!$C$105," ")</f>
        <v xml:space="preserve"> </v>
      </c>
      <c r="AJ285" s="378" t="str">
        <f>IF($C$178="ASHWOOD 20",'ASHWOOD 20'!$D$105," ")</f>
        <v xml:space="preserve"> </v>
      </c>
      <c r="AK285" s="377" t="str">
        <f>IF($C$178="ASHWOOD 20",'ASHWOOD 20'!$C$132," ")</f>
        <v xml:space="preserve"> </v>
      </c>
      <c r="AL285" s="378" t="str">
        <f>IF($C$178="ASHWOOD 20",'ASHWOOD 20'!$D$132," ")</f>
        <v xml:space="preserve"> </v>
      </c>
      <c r="AM285" s="377" t="str">
        <f>IF($C$178="ASHWOOD 20",'ASHWOOD 20'!$C$141," ")</f>
        <v xml:space="preserve"> </v>
      </c>
      <c r="AN285" s="378" t="str">
        <f>IF($C$178="ASHWOOD 20",'ASHWOOD 20'!$D$141," ")</f>
        <v xml:space="preserve"> </v>
      </c>
      <c r="AO285" s="377" t="str">
        <f>IF($C$178="ASHWOOD 20",'ASHWOOD 20'!$C$155," ")</f>
        <v xml:space="preserve"> </v>
      </c>
      <c r="AP285" s="378" t="str">
        <f>IF($C$178="ASHWOOD 20",'ASHWOOD 20'!$D$155," ")</f>
        <v xml:space="preserve"> </v>
      </c>
      <c r="AQ285" s="377" t="str">
        <f>IF($C$178="ASHWOOD 20",'ASHWOOD 20'!$C$162," ")</f>
        <v xml:space="preserve"> </v>
      </c>
      <c r="AR285" s="378" t="str">
        <f>IF($C$178="ASHWOOD 20",'ASHWOOD 20'!$D$162," ")</f>
        <v xml:space="preserve"> </v>
      </c>
    </row>
    <row r="286" spans="2:44" ht="18" customHeight="1">
      <c r="B286" s="586"/>
      <c r="C286" s="587"/>
      <c r="D286" s="365">
        <f t="shared" si="19"/>
        <v>0</v>
      </c>
      <c r="E286" s="445"/>
      <c r="F286" s="363">
        <f t="shared" si="20"/>
        <v>0</v>
      </c>
      <c r="Q286" s="377" t="str">
        <f>IF($C$178="ASHWOOD 20",'ASHWOOD 20'!$C$9," ")</f>
        <v xml:space="preserve"> </v>
      </c>
      <c r="R286" s="378" t="str">
        <f>IF($C$178="ASHWOOD 20",'ASHWOOD 20'!$D$9," ")</f>
        <v xml:space="preserve"> </v>
      </c>
      <c r="S286" s="377" t="str">
        <f>IF($C$178="ASHWOOD 20",'ASHWOOD 20'!$C$23," ")</f>
        <v xml:space="preserve"> </v>
      </c>
      <c r="T286" s="378" t="str">
        <f>IF($C$178="ASHWOOD 20",'ASHWOOD 20'!$D$23," ")</f>
        <v xml:space="preserve"> </v>
      </c>
      <c r="U286" s="377" t="str">
        <f>IF($C$178="ASHWOOD 20",'ASHWOOD 20'!$C$35," ")</f>
        <v xml:space="preserve"> </v>
      </c>
      <c r="V286" s="378" t="str">
        <f>IF($C$178="ASHWOOD 20",'ASHWOOD 20'!$D$35," ")</f>
        <v xml:space="preserve"> </v>
      </c>
      <c r="W286" s="377" t="str">
        <f>IF($C$178="ASHWOOD 20",'ASHWOOD 20'!$C$48," ")</f>
        <v xml:space="preserve"> </v>
      </c>
      <c r="X286" s="378" t="str">
        <f>IF($C$178="ASHWOOD 20",'ASHWOOD 20'!$D$48," ")</f>
        <v xml:space="preserve"> </v>
      </c>
      <c r="Y286" s="377" t="str">
        <f>IF($C$178="ASHWOOD 20",'ASHWOOD 20'!$C$58," ")</f>
        <v xml:space="preserve"> </v>
      </c>
      <c r="Z286" s="378" t="str">
        <f>IF($C$178="ASHWOOD 20",'ASHWOOD 20'!$D$58," ")</f>
        <v xml:space="preserve"> </v>
      </c>
      <c r="AA286" s="380"/>
      <c r="AB286" s="381"/>
      <c r="AC286" s="377" t="str">
        <f>IF($C$178="ASHWOOD 20",'ASHWOOD 20'!$C$72," ")</f>
        <v xml:space="preserve"> </v>
      </c>
      <c r="AD286" s="378" t="str">
        <f>IF($C$178="ASHWOOD 20",'ASHWOOD 20'!$D$72," ")</f>
        <v xml:space="preserve"> </v>
      </c>
      <c r="AE286" s="382"/>
      <c r="AF286" s="382"/>
      <c r="AG286" s="501" t="str">
        <f>IF($C$178="ASHWOOD 20",'ASHWOOD 20'!$C$86," ")</f>
        <v xml:space="preserve"> </v>
      </c>
      <c r="AH286" s="378" t="str">
        <f>IF($C$178="ASHWOOD 20",'ASHWOOD 20'!$D$86," ")</f>
        <v xml:space="preserve"> </v>
      </c>
      <c r="AI286" s="501" t="str">
        <f>IF($C$178="ASHWOOD 20",'ASHWOOD 20'!$C$106," ")</f>
        <v xml:space="preserve"> </v>
      </c>
      <c r="AJ286" s="378" t="str">
        <f>IF($C$178="ASHWOOD 20",'ASHWOOD 20'!$D$106," ")</f>
        <v xml:space="preserve"> </v>
      </c>
      <c r="AK286" s="377" t="str">
        <f>IF($C$178="ASHWOOD 20",'ASHWOOD 20'!$C$133," ")</f>
        <v xml:space="preserve"> </v>
      </c>
      <c r="AL286" s="378" t="str">
        <f>IF($C$178="ASHWOOD 20",'ASHWOOD 20'!$D$133," ")</f>
        <v xml:space="preserve"> </v>
      </c>
      <c r="AM286" s="377" t="str">
        <f>IF($C$178="ASHWOOD 20",'ASHWOOD 20'!$C$142," ")</f>
        <v xml:space="preserve"> </v>
      </c>
      <c r="AN286" s="378" t="str">
        <f>IF($C$178="ASHWOOD 20",'ASHWOOD 20'!$D$142," ")</f>
        <v xml:space="preserve"> </v>
      </c>
      <c r="AO286" s="380"/>
      <c r="AP286" s="381"/>
      <c r="AQ286" s="377" t="str">
        <f>IF($C$178="ASHWOOD 20",'ASHWOOD 20'!$C$163," ")</f>
        <v xml:space="preserve"> </v>
      </c>
      <c r="AR286" s="378" t="str">
        <f>IF($C$178="ASHWOOD 20",'ASHWOOD 20'!$D$163," ")</f>
        <v xml:space="preserve"> </v>
      </c>
    </row>
    <row r="287" spans="2:44" ht="18" customHeight="1">
      <c r="B287" s="586"/>
      <c r="C287" s="587"/>
      <c r="D287" s="365">
        <f t="shared" si="19"/>
        <v>0</v>
      </c>
      <c r="E287" s="445"/>
      <c r="F287" s="363">
        <f t="shared" si="20"/>
        <v>0</v>
      </c>
      <c r="Q287" s="377" t="str">
        <f>IF($C$178="ASHWOOD 20",'ASHWOOD 20'!$C$10," ")</f>
        <v xml:space="preserve"> </v>
      </c>
      <c r="R287" s="378" t="str">
        <f>IF($C$178="ASHWOOD 20",'ASHWOOD 20'!$D$10," ")</f>
        <v xml:space="preserve"> </v>
      </c>
      <c r="S287" s="377" t="str">
        <f>IF($C$178="ASHWOOD 20",'ASHWOOD 20'!$C$24," ")</f>
        <v xml:space="preserve"> </v>
      </c>
      <c r="T287" s="378" t="str">
        <f>IF($C$178="ASHWOOD 20",'ASHWOOD 20'!$D$24," ")</f>
        <v xml:space="preserve"> </v>
      </c>
      <c r="U287" s="377" t="str">
        <f>IF($C$178="ASHWOOD 20",'ASHWOOD 20'!$C$36," ")</f>
        <v xml:space="preserve"> </v>
      </c>
      <c r="V287" s="378" t="str">
        <f>IF($C$178="ASHWOOD 20",'ASHWOOD 20'!$D$36," ")</f>
        <v xml:space="preserve"> </v>
      </c>
      <c r="W287" s="377" t="str">
        <f>IF($C$178="ASHWOOD 20",'ASHWOOD 20'!$C$49," ")</f>
        <v xml:space="preserve"> </v>
      </c>
      <c r="X287" s="378" t="str">
        <f>IF($C$178="ASHWOOD 20",'ASHWOOD 20'!$D$49," ")</f>
        <v xml:space="preserve"> </v>
      </c>
      <c r="Y287" s="380"/>
      <c r="Z287" s="381"/>
      <c r="AA287" s="380"/>
      <c r="AB287" s="381"/>
      <c r="AC287" s="377" t="str">
        <f>IF($C$178="ASHWOOD 20",'ASHWOOD 20'!$C$73," ")</f>
        <v xml:space="preserve"> </v>
      </c>
      <c r="AD287" s="378" t="str">
        <f>IF($C$178="ASHWOOD 20",'ASHWOOD 20'!$D$73," ")</f>
        <v xml:space="preserve"> </v>
      </c>
      <c r="AE287" s="382"/>
      <c r="AF287" s="382"/>
      <c r="AG287" s="501" t="str">
        <f>IF($C$178="ASHWOOD 20",'ASHWOOD 20'!$C$87," ")</f>
        <v xml:space="preserve"> </v>
      </c>
      <c r="AH287" s="378" t="str">
        <f>IF($C$178="ASHWOOD 20",'ASHWOOD 20'!$D$87," ")</f>
        <v xml:space="preserve"> </v>
      </c>
      <c r="AI287" s="501" t="str">
        <f>IF($C$178="ASHWOOD 20",'ASHWOOD 20'!$C$107," ")</f>
        <v xml:space="preserve"> </v>
      </c>
      <c r="AJ287" s="378" t="str">
        <f>IF($C$178="ASHWOOD 20",'ASHWOOD 20'!$D$107," ")</f>
        <v xml:space="preserve"> </v>
      </c>
      <c r="AK287" s="380"/>
      <c r="AL287" s="381"/>
      <c r="AM287" s="377" t="str">
        <f>IF($C$178="ASHWOOD 20",'ASHWOOD 20'!$C$143," ")</f>
        <v xml:space="preserve"> </v>
      </c>
      <c r="AN287" s="378" t="str">
        <f>IF($C$178="ASHWOOD 20",'ASHWOOD 20'!$D$143," ")</f>
        <v xml:space="preserve"> </v>
      </c>
      <c r="AO287" s="380"/>
      <c r="AP287" s="381"/>
      <c r="AQ287" s="377" t="str">
        <f>IF($C$178="ASHWOOD 20",'ASHWOOD 20'!$C$164," ")</f>
        <v xml:space="preserve"> </v>
      </c>
      <c r="AR287" s="378" t="str">
        <f>IF($C$178="ASHWOOD 20",'ASHWOOD 20'!$D$164," ")</f>
        <v xml:space="preserve"> </v>
      </c>
    </row>
    <row r="288" spans="2:44" ht="18" customHeight="1">
      <c r="B288" s="586"/>
      <c r="C288" s="587"/>
      <c r="D288" s="365">
        <f t="shared" si="19"/>
        <v>0</v>
      </c>
      <c r="E288" s="445"/>
      <c r="F288" s="363">
        <f t="shared" si="20"/>
        <v>0</v>
      </c>
      <c r="Q288" s="377" t="str">
        <f>IF($C$178="ASHWOOD 20",'ASHWOOD 20'!$C$11," ")</f>
        <v xml:space="preserve"> </v>
      </c>
      <c r="R288" s="378" t="str">
        <f>IF($C$178="ASHWOOD 20",'ASHWOOD 20'!$D$11," ")</f>
        <v xml:space="preserve"> </v>
      </c>
      <c r="S288" s="377" t="str">
        <f>IF($C$178="ASHWOOD 20",'ASHWOOD 20'!$C$25," ")</f>
        <v xml:space="preserve"> </v>
      </c>
      <c r="T288" s="378" t="str">
        <f>IF($C$178="ASHWOOD 20",'ASHWOOD 20'!$D$25," ")</f>
        <v xml:space="preserve"> </v>
      </c>
      <c r="U288" s="377" t="str">
        <f>IF($C$178="ASHWOOD 20",'ASHWOOD 20'!$C$37," ")</f>
        <v xml:space="preserve"> </v>
      </c>
      <c r="V288" s="378" t="str">
        <f>IF($C$178="ASHWOOD 20",'ASHWOOD 20'!$D$37," ")</f>
        <v xml:space="preserve"> </v>
      </c>
      <c r="W288" s="377" t="str">
        <f>IF($C$178="ASHWOOD 20",'ASHWOOD 20'!$C$50," ")</f>
        <v xml:space="preserve"> </v>
      </c>
      <c r="X288" s="378" t="str">
        <f>IF($C$178="ASHWOOD 20",'ASHWOOD 20'!$D$50," ")</f>
        <v xml:space="preserve"> </v>
      </c>
      <c r="Y288" s="380"/>
      <c r="Z288" s="381"/>
      <c r="AA288" s="380"/>
      <c r="AB288" s="381"/>
      <c r="AC288" s="382"/>
      <c r="AD288" s="382"/>
      <c r="AE288" s="382"/>
      <c r="AF288" s="382"/>
      <c r="AG288" s="501" t="str">
        <f>IF($C$178="ASHWOOD 20",'ASHWOOD 20'!$C$88," ")</f>
        <v xml:space="preserve"> </v>
      </c>
      <c r="AH288" s="378" t="str">
        <f>IF($C$178="ASHWOOD 20",'ASHWOOD 20'!$D$88," ")</f>
        <v xml:space="preserve"> </v>
      </c>
      <c r="AI288" s="501" t="str">
        <f>IF($C$178="ASHWOOD 20",'ASHWOOD 20'!$C$108," ")</f>
        <v xml:space="preserve"> </v>
      </c>
      <c r="AJ288" s="378" t="str">
        <f>IF($C$178="ASHWOOD 20",'ASHWOOD 20'!$D$108," ")</f>
        <v xml:space="preserve"> </v>
      </c>
      <c r="AK288" s="380"/>
      <c r="AL288" s="381"/>
      <c r="AM288" s="377" t="str">
        <f>IF($C$178="ASHWOOD 20",'ASHWOOD 20'!$C$144," ")</f>
        <v xml:space="preserve"> </v>
      </c>
      <c r="AN288" s="378" t="str">
        <f>IF($C$178="ASHWOOD 20",'ASHWOOD 20'!$D$144," ")</f>
        <v xml:space="preserve"> </v>
      </c>
      <c r="AO288" s="380"/>
      <c r="AP288" s="381"/>
      <c r="AQ288" s="380"/>
      <c r="AR288" s="381"/>
    </row>
    <row r="289" spans="2:44" ht="18" customHeight="1">
      <c r="B289" s="586"/>
      <c r="C289" s="587"/>
      <c r="D289" s="365">
        <f t="shared" si="19"/>
        <v>0</v>
      </c>
      <c r="E289" s="445"/>
      <c r="F289" s="363">
        <f t="shared" si="20"/>
        <v>0</v>
      </c>
      <c r="Q289" s="377" t="str">
        <f>IF($C$178="ASHWOOD 20",'ASHWOOD 20'!$C$12," ")</f>
        <v xml:space="preserve"> </v>
      </c>
      <c r="R289" s="378" t="str">
        <f>IF($C$178="ASHWOOD 20",'ASHWOOD 20'!$D$12," ")</f>
        <v xml:space="preserve"> </v>
      </c>
      <c r="S289" s="377" t="str">
        <f>IF($C$178="ASHWOOD 20",'ASHWOOD 20'!$C$26," ")</f>
        <v xml:space="preserve"> </v>
      </c>
      <c r="T289" s="378" t="str">
        <f>IF($C$178="ASHWOOD 20",'ASHWOOD 20'!$D$26," ")</f>
        <v xml:space="preserve"> </v>
      </c>
      <c r="U289" s="377" t="str">
        <f>IF($C$178="ASHWOOD 20",'ASHWOOD 20'!$C$38," ")</f>
        <v xml:space="preserve"> </v>
      </c>
      <c r="V289" s="378" t="str">
        <f>IF($C$178="ASHWOOD 20",'ASHWOOD 20'!$D$38," ")</f>
        <v xml:space="preserve"> </v>
      </c>
      <c r="W289" s="380"/>
      <c r="X289" s="381"/>
      <c r="Y289" s="380"/>
      <c r="Z289" s="381"/>
      <c r="AA289" s="380"/>
      <c r="AB289" s="381"/>
      <c r="AC289" s="382"/>
      <c r="AD289" s="382"/>
      <c r="AE289" s="382"/>
      <c r="AF289" s="382"/>
      <c r="AG289" s="501" t="str">
        <f>IF($C$178="ASHWOOD 20",'ASHWOOD 20'!$C$89," ")</f>
        <v xml:space="preserve"> </v>
      </c>
      <c r="AH289" s="378" t="str">
        <f>IF($C$178="ASHWOOD 20",'ASHWOOD 20'!$D$89," ")</f>
        <v xml:space="preserve"> </v>
      </c>
      <c r="AI289" s="501" t="str">
        <f>IF($C$178="ASHWOOD 20",'ASHWOOD 20'!$C$109," ")</f>
        <v xml:space="preserve"> </v>
      </c>
      <c r="AJ289" s="378" t="str">
        <f>IF($C$178="ASHWOOD 20",'ASHWOOD 20'!$D$109," ")</f>
        <v xml:space="preserve"> </v>
      </c>
      <c r="AK289" s="380"/>
      <c r="AL289" s="381"/>
      <c r="AM289" s="377" t="str">
        <f>IF($C$178="ASHWOOD 20",'ASHWOOD 20'!$C$145," ")</f>
        <v xml:space="preserve"> </v>
      </c>
      <c r="AN289" s="378" t="str">
        <f>IF($C$178="ASHWOOD 20",'ASHWOOD 20'!$D$145," ")</f>
        <v xml:space="preserve"> </v>
      </c>
      <c r="AO289" s="380"/>
      <c r="AP289" s="381"/>
      <c r="AQ289" s="380"/>
      <c r="AR289" s="381"/>
    </row>
    <row r="290" spans="2:44" ht="18" customHeight="1">
      <c r="B290" s="588" t="s">
        <v>324</v>
      </c>
      <c r="C290" s="589"/>
      <c r="D290" s="589"/>
      <c r="E290" s="589"/>
      <c r="F290" s="590"/>
      <c r="Q290" s="377" t="str">
        <f>IF($C$178="ASHWOOD 20",'ASHWOOD 20'!$C$13," ")</f>
        <v xml:space="preserve"> </v>
      </c>
      <c r="R290" s="378" t="str">
        <f>IF($C$178="ASHWOOD 20",'ASHWOOD 20'!$D$13," ")</f>
        <v xml:space="preserve"> </v>
      </c>
      <c r="S290" s="382"/>
      <c r="T290" s="382"/>
      <c r="U290" s="377" t="str">
        <f>IF($C$178="ASHWOOD 20",'ASHWOOD 20'!$C$39," ")</f>
        <v xml:space="preserve"> </v>
      </c>
      <c r="V290" s="378" t="str">
        <f>IF($C$178="ASHWOOD 20",'ASHWOOD 20'!$D$39," ")</f>
        <v xml:space="preserve"> </v>
      </c>
      <c r="W290" s="380"/>
      <c r="X290" s="381"/>
      <c r="Y290" s="380"/>
      <c r="Z290" s="381"/>
      <c r="AA290" s="380"/>
      <c r="AB290" s="381"/>
      <c r="AC290" s="382"/>
      <c r="AD290" s="382"/>
      <c r="AE290" s="382"/>
      <c r="AF290" s="382"/>
      <c r="AG290" s="501" t="str">
        <f>IF($C$178="ASHWOOD 20",'ASHWOOD 20'!$C$90," ")</f>
        <v xml:space="preserve"> </v>
      </c>
      <c r="AH290" s="378" t="str">
        <f>IF($C$178="ASHWOOD 20",'ASHWOOD 20'!$D$90," ")</f>
        <v xml:space="preserve"> </v>
      </c>
      <c r="AI290" s="501" t="str">
        <f>IF($C$178="ASHWOOD 20",'ASHWOOD 20'!$C$110," ")</f>
        <v xml:space="preserve"> </v>
      </c>
      <c r="AJ290" s="378" t="str">
        <f>IF($C$178="ASHWOOD 20",'ASHWOOD 20'!$D$110," ")</f>
        <v xml:space="preserve"> </v>
      </c>
      <c r="AK290" s="380"/>
      <c r="AL290" s="381"/>
      <c r="AM290" s="377" t="str">
        <f>IF($C$178="ASHWOOD 20",'ASHWOOD 20'!$C$146," ")</f>
        <v xml:space="preserve"> </v>
      </c>
      <c r="AN290" s="378" t="str">
        <f>IF($C$178="ASHWOOD 20",'ASHWOOD 20'!$D$146," ")</f>
        <v xml:space="preserve"> </v>
      </c>
      <c r="AO290" s="380"/>
      <c r="AP290" s="381"/>
      <c r="AQ290" s="380"/>
      <c r="AR290" s="381"/>
    </row>
    <row r="291" spans="2:44" ht="18" customHeight="1">
      <c r="B291" s="586"/>
      <c r="C291" s="587"/>
      <c r="D291" s="365">
        <f t="shared" ref="D291:D313" si="21">_xlfn.XLOOKUP($B291,$AI$173:$AI$393,$AJ$173:$AJ$393)</f>
        <v>0</v>
      </c>
      <c r="E291" s="445"/>
      <c r="F291" s="363">
        <f t="shared" ref="F291:F313" si="22">SUM(E291-D291)</f>
        <v>0</v>
      </c>
      <c r="Q291" s="377" t="str">
        <f>IF($C$178="ASHWOOD 20",'ASHWOOD 20'!$C$14," ")</f>
        <v xml:space="preserve"> </v>
      </c>
      <c r="R291" s="378" t="str">
        <f>IF($C$178="ASHWOOD 20",'ASHWOOD 20'!$D$14," ")</f>
        <v xml:space="preserve"> </v>
      </c>
      <c r="S291" s="382"/>
      <c r="T291" s="382"/>
      <c r="U291" s="377" t="str">
        <f>IF($C$178="ASHWOOD 20",'ASHWOOD 20'!$C$40," ")</f>
        <v xml:space="preserve"> </v>
      </c>
      <c r="V291" s="378" t="str">
        <f>IF($C$178="ASHWOOD 20",'ASHWOOD 20'!$D$40," ")</f>
        <v xml:space="preserve"> </v>
      </c>
      <c r="W291" s="380"/>
      <c r="X291" s="381"/>
      <c r="Y291" s="380"/>
      <c r="Z291" s="381"/>
      <c r="AA291" s="380"/>
      <c r="AB291" s="381"/>
      <c r="AC291" s="382"/>
      <c r="AD291" s="382"/>
      <c r="AE291" s="382"/>
      <c r="AF291" s="382"/>
      <c r="AG291" s="501" t="str">
        <f>IF($C$178="ASHWOOD 20",'ASHWOOD 20'!$C$91," ")</f>
        <v xml:space="preserve"> </v>
      </c>
      <c r="AH291" s="378" t="str">
        <f>IF($C$178="ASHWOOD 20",'ASHWOOD 20'!$D$91," ")</f>
        <v xml:space="preserve"> </v>
      </c>
      <c r="AI291" s="501" t="str">
        <f>IF($C$178="ASHWOOD 20",'ASHWOOD 20'!$C$111," ")</f>
        <v xml:space="preserve"> </v>
      </c>
      <c r="AJ291" s="378" t="str">
        <f>IF($C$178="ASHWOOD 20",'ASHWOOD 20'!$D$111," ")</f>
        <v xml:space="preserve"> </v>
      </c>
      <c r="AK291" s="380"/>
      <c r="AL291" s="381"/>
      <c r="AM291" s="377" t="str">
        <f>IF($C$178="ASHWOOD 20",'ASHWOOD 20'!$C$147," ")</f>
        <v xml:space="preserve"> </v>
      </c>
      <c r="AN291" s="378" t="str">
        <f>IF($C$178="ASHWOOD 20",'ASHWOOD 20'!$D$147," ")</f>
        <v xml:space="preserve"> </v>
      </c>
      <c r="AO291" s="380"/>
      <c r="AP291" s="381"/>
      <c r="AQ291" s="380"/>
      <c r="AR291" s="381"/>
    </row>
    <row r="292" spans="2:44" ht="18" customHeight="1">
      <c r="B292" s="586"/>
      <c r="C292" s="587"/>
      <c r="D292" s="365">
        <f t="shared" si="21"/>
        <v>0</v>
      </c>
      <c r="E292" s="445"/>
      <c r="F292" s="363">
        <f t="shared" si="22"/>
        <v>0</v>
      </c>
      <c r="Q292" s="377" t="str">
        <f>IF($C$178="ASHWOOD 20",'ASHWOOD 20'!$C$15," ")</f>
        <v xml:space="preserve"> </v>
      </c>
      <c r="R292" s="378" t="str">
        <f>IF($C$178="ASHWOOD 20",'ASHWOOD 20'!$D$15," ")</f>
        <v xml:space="preserve"> </v>
      </c>
      <c r="S292" s="382"/>
      <c r="T292" s="382"/>
      <c r="U292" s="380"/>
      <c r="V292" s="381"/>
      <c r="W292" s="380"/>
      <c r="X292" s="381"/>
      <c r="Y292" s="380"/>
      <c r="Z292" s="381"/>
      <c r="AA292" s="380"/>
      <c r="AB292" s="381"/>
      <c r="AC292" s="382"/>
      <c r="AD292" s="382"/>
      <c r="AE292" s="382"/>
      <c r="AF292" s="382"/>
      <c r="AG292" s="501" t="str">
        <f>IF($C$178="ASHWOOD 20",'ASHWOOD 20'!$C$92," ")</f>
        <v xml:space="preserve"> </v>
      </c>
      <c r="AH292" s="378" t="str">
        <f>IF($C$178="ASHWOOD 20",'ASHWOOD 20'!$D$92," ")</f>
        <v xml:space="preserve"> </v>
      </c>
      <c r="AI292" s="501" t="str">
        <f>IF($C$178="ASHWOOD 20",'ASHWOOD 20'!$C$112," ")</f>
        <v xml:space="preserve"> </v>
      </c>
      <c r="AJ292" s="378" t="str">
        <f>IF($C$178="ASHWOOD 20",'ASHWOOD 20'!$D$112," ")</f>
        <v xml:space="preserve"> </v>
      </c>
      <c r="AK292" s="380"/>
      <c r="AL292" s="381"/>
      <c r="AM292" s="377" t="str">
        <f>IF($C$178="ASHWOOD 20",'ASHWOOD 20'!$C$148," ")</f>
        <v xml:space="preserve"> </v>
      </c>
      <c r="AN292" s="378" t="str">
        <f>IF($C$178="ASHWOOD 20",'ASHWOOD 20'!$D$148," ")</f>
        <v xml:space="preserve"> </v>
      </c>
      <c r="AO292" s="380"/>
      <c r="AP292" s="381"/>
      <c r="AQ292" s="380"/>
      <c r="AR292" s="381"/>
    </row>
    <row r="293" spans="2:44" ht="18" customHeight="1">
      <c r="B293" s="586"/>
      <c r="C293" s="587"/>
      <c r="D293" s="365">
        <f t="shared" si="21"/>
        <v>0</v>
      </c>
      <c r="E293" s="445"/>
      <c r="F293" s="363">
        <f t="shared" si="22"/>
        <v>0</v>
      </c>
      <c r="Q293" s="382"/>
      <c r="R293" s="483"/>
      <c r="S293" s="382"/>
      <c r="T293" s="382"/>
      <c r="U293" s="382"/>
      <c r="V293" s="382"/>
      <c r="W293" s="382"/>
      <c r="X293" s="382"/>
      <c r="Y293" s="382"/>
      <c r="Z293" s="382"/>
      <c r="AA293" s="382"/>
      <c r="AB293" s="382"/>
      <c r="AC293" s="382"/>
      <c r="AD293" s="382"/>
      <c r="AE293" s="382"/>
      <c r="AF293" s="382"/>
      <c r="AG293" s="501" t="str">
        <f>IF($C$178="ASHWOOD 20",'ASHWOOD 20'!$C$93," ")</f>
        <v xml:space="preserve"> </v>
      </c>
      <c r="AH293" s="378" t="str">
        <f>IF($C$178="ASHWOOD 20",'ASHWOOD 20'!$D$93," ")</f>
        <v xml:space="preserve"> </v>
      </c>
      <c r="AI293" s="501" t="str">
        <f>IF($C$178="ASHWOOD 20",'ASHWOOD 20'!$C$113," ")</f>
        <v xml:space="preserve"> </v>
      </c>
      <c r="AJ293" s="378" t="str">
        <f>IF($C$178="ASHWOOD 20",'ASHWOOD 20'!$D$113," ")</f>
        <v xml:space="preserve"> </v>
      </c>
      <c r="AK293" s="380"/>
      <c r="AL293" s="381"/>
      <c r="AM293" s="380"/>
      <c r="AN293" s="381"/>
      <c r="AO293" s="380"/>
      <c r="AP293" s="381"/>
      <c r="AQ293" s="380"/>
      <c r="AR293" s="381"/>
    </row>
    <row r="294" spans="2:44" ht="18" customHeight="1">
      <c r="B294" s="586"/>
      <c r="C294" s="587"/>
      <c r="D294" s="365">
        <f t="shared" si="21"/>
        <v>0</v>
      </c>
      <c r="E294" s="445"/>
      <c r="F294" s="363">
        <f t="shared" si="22"/>
        <v>0</v>
      </c>
      <c r="Q294" s="382"/>
      <c r="R294" s="483"/>
      <c r="S294" s="382"/>
      <c r="T294" s="382"/>
      <c r="U294" s="382"/>
      <c r="V294" s="382"/>
      <c r="W294" s="382"/>
      <c r="X294" s="382"/>
      <c r="Y294" s="382"/>
      <c r="Z294" s="382"/>
      <c r="AA294" s="382"/>
      <c r="AB294" s="382"/>
      <c r="AC294" s="382"/>
      <c r="AD294" s="382"/>
      <c r="AE294" s="382"/>
      <c r="AF294" s="382"/>
      <c r="AG294" s="501" t="str">
        <f>IF($C$178="ASHWOOD 20",'ASHWOOD 20'!$C$94," ")</f>
        <v xml:space="preserve"> </v>
      </c>
      <c r="AH294" s="378" t="str">
        <f>IF($C$178="ASHWOOD 20",'ASHWOOD 20'!$D$94," ")</f>
        <v xml:space="preserve"> </v>
      </c>
      <c r="AI294" s="501" t="str">
        <f>IF($C$178="ASHWOOD 20",'ASHWOOD 20'!$C$114," ")</f>
        <v xml:space="preserve"> </v>
      </c>
      <c r="AJ294" s="378" t="str">
        <f>IF($C$178="ASHWOOD 20",'ASHWOOD 20'!$D$114," ")</f>
        <v xml:space="preserve"> </v>
      </c>
      <c r="AK294" s="380"/>
      <c r="AL294" s="381"/>
      <c r="AM294" s="380"/>
      <c r="AN294" s="381"/>
      <c r="AO294" s="380"/>
      <c r="AP294" s="381"/>
      <c r="AQ294" s="380"/>
      <c r="AR294" s="381"/>
    </row>
    <row r="295" spans="2:44" ht="18" customHeight="1">
      <c r="B295" s="586"/>
      <c r="C295" s="587"/>
      <c r="D295" s="365">
        <f t="shared" si="21"/>
        <v>0</v>
      </c>
      <c r="E295" s="445"/>
      <c r="F295" s="363">
        <f t="shared" si="22"/>
        <v>0</v>
      </c>
      <c r="Q295" s="382"/>
      <c r="R295" s="504"/>
      <c r="S295" s="382"/>
      <c r="T295" s="382"/>
      <c r="U295" s="382"/>
      <c r="V295" s="382"/>
      <c r="W295" s="382"/>
      <c r="X295" s="382"/>
      <c r="Y295" s="382"/>
      <c r="Z295" s="382"/>
      <c r="AA295" s="382"/>
      <c r="AB295" s="382"/>
      <c r="AC295" s="382"/>
      <c r="AD295" s="382"/>
      <c r="AE295" s="382"/>
      <c r="AF295" s="382"/>
      <c r="AG295" s="501" t="str">
        <f>IF($C$178="ASHWOOD 20",'ASHWOOD 20'!$C$95," ")</f>
        <v xml:space="preserve"> </v>
      </c>
      <c r="AH295" s="378" t="str">
        <f>IF($C$178="ASHWOOD 20",'ASHWOOD 20'!$D$95," ")</f>
        <v xml:space="preserve"> </v>
      </c>
      <c r="AI295" s="501" t="str">
        <f>IF($C$178="ASHWOOD 20",'ASHWOOD 20'!$C$115," ")</f>
        <v xml:space="preserve"> </v>
      </c>
      <c r="AJ295" s="378" t="str">
        <f>IF($C$178="ASHWOOD 20",'ASHWOOD 20'!$D$115," ")</f>
        <v xml:space="preserve"> </v>
      </c>
      <c r="AK295" s="380"/>
      <c r="AL295" s="381"/>
      <c r="AM295" s="380"/>
      <c r="AN295" s="381"/>
      <c r="AO295" s="380"/>
      <c r="AP295" s="381"/>
      <c r="AQ295" s="380"/>
      <c r="AR295" s="381"/>
    </row>
    <row r="296" spans="2:44" ht="18" customHeight="1">
      <c r="B296" s="586"/>
      <c r="C296" s="587"/>
      <c r="D296" s="365">
        <f t="shared" si="21"/>
        <v>0</v>
      </c>
      <c r="E296" s="445"/>
      <c r="F296" s="363">
        <f t="shared" si="22"/>
        <v>0</v>
      </c>
      <c r="Q296" s="382"/>
      <c r="R296" s="483"/>
      <c r="S296" s="382"/>
      <c r="T296" s="382"/>
      <c r="U296" s="382"/>
      <c r="V296" s="382"/>
      <c r="W296" s="382"/>
      <c r="X296" s="382"/>
      <c r="Y296" s="382"/>
      <c r="Z296" s="382"/>
      <c r="AA296" s="382"/>
      <c r="AB296" s="382"/>
      <c r="AC296" s="382"/>
      <c r="AD296" s="382"/>
      <c r="AE296" s="382"/>
      <c r="AF296" s="382"/>
      <c r="AG296" s="501" t="str">
        <f>IF($C$178="ASHWOOD 20",'ASHWOOD 20'!$C$96," ")</f>
        <v xml:space="preserve"> </v>
      </c>
      <c r="AH296" s="378" t="str">
        <f>IF($C$178="ASHWOOD 20",'ASHWOOD 20'!$D$96," ")</f>
        <v xml:space="preserve"> </v>
      </c>
      <c r="AI296" s="501" t="str">
        <f>IF($C$178="ASHWOOD 20",'ASHWOOD 20'!$C$116," ")</f>
        <v xml:space="preserve"> </v>
      </c>
      <c r="AJ296" s="378" t="str">
        <f>IF($C$178="ASHWOOD 20",'ASHWOOD 20'!$D$116," ")</f>
        <v xml:space="preserve"> </v>
      </c>
      <c r="AK296" s="380"/>
      <c r="AL296" s="381"/>
      <c r="AM296" s="380"/>
      <c r="AN296" s="381"/>
      <c r="AO296" s="380"/>
      <c r="AP296" s="381"/>
      <c r="AQ296" s="380"/>
      <c r="AR296" s="381"/>
    </row>
    <row r="297" spans="2:44" ht="18" customHeight="1">
      <c r="B297" s="586"/>
      <c r="C297" s="587"/>
      <c r="D297" s="365">
        <f t="shared" si="21"/>
        <v>0</v>
      </c>
      <c r="E297" s="445"/>
      <c r="F297" s="363">
        <f t="shared" si="22"/>
        <v>0</v>
      </c>
      <c r="Q297" s="382"/>
      <c r="R297" s="483"/>
      <c r="S297" s="382"/>
      <c r="T297" s="382"/>
      <c r="U297" s="382"/>
      <c r="V297" s="382"/>
      <c r="W297" s="382"/>
      <c r="X297" s="382"/>
      <c r="Y297" s="382"/>
      <c r="Z297" s="382"/>
      <c r="AA297" s="382"/>
      <c r="AB297" s="382"/>
      <c r="AC297" s="382"/>
      <c r="AD297" s="382"/>
      <c r="AE297" s="382"/>
      <c r="AF297" s="382"/>
      <c r="AG297" s="501" t="str">
        <f>IF($C$178="ASHWOOD 20",'ASHWOOD 20'!$C$97," ")</f>
        <v xml:space="preserve"> </v>
      </c>
      <c r="AH297" s="378" t="str">
        <f>IF($C$178="ASHWOOD 20",'ASHWOOD 20'!$D$97," ")</f>
        <v xml:space="preserve"> </v>
      </c>
      <c r="AI297" s="501" t="str">
        <f>IF($C$178="ASHWOOD 20",'ASHWOOD 20'!$C$117," ")</f>
        <v xml:space="preserve"> </v>
      </c>
      <c r="AJ297" s="378" t="str">
        <f>IF($C$178="ASHWOOD 20",'ASHWOOD 20'!$D$117," ")</f>
        <v xml:space="preserve"> </v>
      </c>
      <c r="AK297" s="380"/>
      <c r="AL297" s="381"/>
      <c r="AM297" s="380"/>
      <c r="AN297" s="381"/>
      <c r="AO297" s="380"/>
      <c r="AP297" s="381"/>
      <c r="AQ297" s="380"/>
      <c r="AR297" s="381"/>
    </row>
    <row r="298" spans="2:44" ht="18" customHeight="1">
      <c r="B298" s="586"/>
      <c r="C298" s="587"/>
      <c r="D298" s="365">
        <f t="shared" si="21"/>
        <v>0</v>
      </c>
      <c r="E298" s="445"/>
      <c r="F298" s="363">
        <f t="shared" si="22"/>
        <v>0</v>
      </c>
      <c r="Q298" s="382"/>
      <c r="R298" s="483"/>
      <c r="S298" s="382"/>
      <c r="T298" s="382"/>
      <c r="U298" s="382"/>
      <c r="V298" s="382"/>
      <c r="W298" s="382"/>
      <c r="X298" s="382"/>
      <c r="Y298" s="382"/>
      <c r="Z298" s="382"/>
      <c r="AA298" s="382"/>
      <c r="AB298" s="382"/>
      <c r="AC298" s="382"/>
      <c r="AD298" s="382"/>
      <c r="AE298" s="382"/>
      <c r="AF298" s="382"/>
      <c r="AG298" s="501" t="str">
        <f>IF($C$178="ASHWOOD 20",'ASHWOOD 20'!$C$98," ")</f>
        <v xml:space="preserve"> </v>
      </c>
      <c r="AH298" s="378" t="str">
        <f>IF($C$178="ASHWOOD 20",'ASHWOOD 20'!$D$98," ")</f>
        <v xml:space="preserve"> </v>
      </c>
      <c r="AI298" s="501" t="str">
        <f>IF($C$178="ASHWOOD 20",'ASHWOOD 20'!$C$118," ")</f>
        <v xml:space="preserve"> </v>
      </c>
      <c r="AJ298" s="378" t="str">
        <f>IF($C$178="ASHWOOD 20",'ASHWOOD 20'!$D$118," ")</f>
        <v xml:space="preserve"> </v>
      </c>
      <c r="AK298" s="380"/>
      <c r="AL298" s="381"/>
      <c r="AM298" s="380"/>
      <c r="AN298" s="381"/>
      <c r="AO298" s="380"/>
      <c r="AP298" s="381"/>
      <c r="AQ298" s="380"/>
      <c r="AR298" s="381"/>
    </row>
    <row r="299" spans="2:44" ht="18" customHeight="1">
      <c r="B299" s="586"/>
      <c r="C299" s="587"/>
      <c r="D299" s="365">
        <f t="shared" si="21"/>
        <v>0</v>
      </c>
      <c r="E299" s="445"/>
      <c r="F299" s="363">
        <f t="shared" si="22"/>
        <v>0</v>
      </c>
      <c r="Q299" s="382"/>
      <c r="R299" s="483"/>
      <c r="S299" s="382"/>
      <c r="T299" s="382"/>
      <c r="U299" s="382"/>
      <c r="V299" s="382"/>
      <c r="W299" s="382"/>
      <c r="X299" s="382"/>
      <c r="Y299" s="382"/>
      <c r="Z299" s="382"/>
      <c r="AA299" s="382"/>
      <c r="AB299" s="382"/>
      <c r="AC299" s="382"/>
      <c r="AD299" s="382"/>
      <c r="AE299" s="382"/>
      <c r="AF299" s="382"/>
      <c r="AH299" s="382"/>
      <c r="AI299" s="501" t="str">
        <f>IF($C$178="ASHWOOD 20",'ASHWOOD 20'!$C$119," ")</f>
        <v xml:space="preserve"> </v>
      </c>
      <c r="AJ299" s="378" t="str">
        <f>IF($C$178="ASHWOOD 20",'ASHWOOD 20'!$D$119," ")</f>
        <v xml:space="preserve"> </v>
      </c>
      <c r="AK299" s="380"/>
      <c r="AL299" s="381"/>
      <c r="AM299" s="380"/>
      <c r="AN299" s="381"/>
      <c r="AO299" s="380"/>
      <c r="AP299" s="381"/>
      <c r="AQ299" s="380"/>
      <c r="AR299" s="381"/>
    </row>
    <row r="300" spans="2:44" ht="18" customHeight="1">
      <c r="B300" s="586"/>
      <c r="C300" s="587"/>
      <c r="D300" s="365">
        <f t="shared" si="21"/>
        <v>0</v>
      </c>
      <c r="E300" s="445"/>
      <c r="F300" s="363">
        <f t="shared" si="22"/>
        <v>0</v>
      </c>
      <c r="Q300" s="382"/>
      <c r="R300" s="483"/>
      <c r="S300" s="382"/>
      <c r="T300" s="382"/>
      <c r="U300" s="382"/>
      <c r="V300" s="382"/>
      <c r="W300" s="382"/>
      <c r="X300" s="382"/>
      <c r="Y300" s="382"/>
      <c r="Z300" s="382"/>
      <c r="AA300" s="382"/>
      <c r="AB300" s="382"/>
      <c r="AC300" s="382"/>
      <c r="AD300" s="382"/>
      <c r="AE300" s="382"/>
      <c r="AF300" s="382"/>
      <c r="AG300" s="398"/>
      <c r="AH300" s="382"/>
      <c r="AI300" s="501" t="str">
        <f>IF($C$178="ASHWOOD 20",'ASHWOOD 20'!$C$120," ")</f>
        <v xml:space="preserve"> </v>
      </c>
      <c r="AJ300" s="378" t="str">
        <f>IF($C$178="ASHWOOD 20",'ASHWOOD 20'!$D$120," ")</f>
        <v xml:space="preserve"> </v>
      </c>
      <c r="AK300" s="380"/>
      <c r="AL300" s="381"/>
      <c r="AM300" s="380"/>
      <c r="AN300" s="381"/>
      <c r="AO300" s="380"/>
      <c r="AP300" s="381"/>
      <c r="AQ300" s="380"/>
      <c r="AR300" s="381"/>
    </row>
    <row r="301" spans="2:44" ht="18" customHeight="1">
      <c r="B301" s="586"/>
      <c r="C301" s="587"/>
      <c r="D301" s="365">
        <f t="shared" si="21"/>
        <v>0</v>
      </c>
      <c r="E301" s="445"/>
      <c r="F301" s="363">
        <f t="shared" si="22"/>
        <v>0</v>
      </c>
      <c r="Q301" s="382"/>
      <c r="R301" s="483"/>
      <c r="S301" s="382"/>
      <c r="T301" s="382"/>
      <c r="U301" s="382"/>
      <c r="V301" s="382"/>
      <c r="W301" s="382"/>
      <c r="X301" s="382"/>
      <c r="Y301" s="382"/>
      <c r="Z301" s="382"/>
      <c r="AA301" s="382"/>
      <c r="AB301" s="382"/>
      <c r="AC301" s="382"/>
      <c r="AD301" s="382"/>
      <c r="AE301" s="382"/>
      <c r="AF301" s="382"/>
      <c r="AG301" s="398"/>
      <c r="AH301" s="382"/>
      <c r="AI301" s="501" t="str">
        <f>IF($C$178="ASHWOOD 20",'ASHWOOD 20'!$C$121," ")</f>
        <v xml:space="preserve"> </v>
      </c>
      <c r="AJ301" s="378" t="str">
        <f>IF($C$178="ASHWOOD 20",'ASHWOOD 20'!$D$121," ")</f>
        <v xml:space="preserve"> </v>
      </c>
      <c r="AK301" s="380"/>
      <c r="AL301" s="381"/>
      <c r="AM301" s="380"/>
      <c r="AN301" s="381"/>
      <c r="AO301" s="380"/>
      <c r="AP301" s="381"/>
      <c r="AQ301" s="380"/>
      <c r="AR301" s="381"/>
    </row>
    <row r="302" spans="2:44" ht="18" customHeight="1">
      <c r="B302" s="586"/>
      <c r="C302" s="587"/>
      <c r="D302" s="365">
        <f t="shared" si="21"/>
        <v>0</v>
      </c>
      <c r="E302" s="445"/>
      <c r="F302" s="363">
        <f t="shared" si="22"/>
        <v>0</v>
      </c>
      <c r="Q302" s="382"/>
      <c r="R302" s="483"/>
      <c r="S302" s="382"/>
      <c r="T302" s="382"/>
      <c r="U302" s="382"/>
      <c r="V302" s="382"/>
      <c r="W302" s="382"/>
      <c r="X302" s="382"/>
      <c r="Y302" s="382"/>
      <c r="Z302" s="382"/>
      <c r="AA302" s="382"/>
      <c r="AB302" s="382"/>
      <c r="AC302" s="382"/>
      <c r="AD302" s="382"/>
      <c r="AE302" s="382"/>
      <c r="AF302" s="382"/>
      <c r="AG302" s="398"/>
      <c r="AH302" s="382"/>
      <c r="AI302" s="501" t="str">
        <f>IF($C$178="ASHWOOD 20",'ASHWOOD 20'!$C$122," ")</f>
        <v xml:space="preserve"> </v>
      </c>
      <c r="AJ302" s="378" t="str">
        <f>IF($C$178="ASHWOOD 20",'ASHWOOD 20'!$D$122," ")</f>
        <v xml:space="preserve"> </v>
      </c>
      <c r="AK302" s="380"/>
      <c r="AL302" s="381"/>
      <c r="AM302" s="380"/>
      <c r="AN302" s="381"/>
      <c r="AO302" s="380"/>
      <c r="AP302" s="381"/>
      <c r="AQ302" s="380"/>
      <c r="AR302" s="381"/>
    </row>
    <row r="303" spans="2:44" ht="18" customHeight="1">
      <c r="B303" s="586"/>
      <c r="C303" s="587"/>
      <c r="D303" s="365">
        <f t="shared" si="21"/>
        <v>0</v>
      </c>
      <c r="E303" s="445"/>
      <c r="F303" s="363">
        <f t="shared" si="22"/>
        <v>0</v>
      </c>
      <c r="Q303" s="382"/>
      <c r="R303" s="483"/>
      <c r="S303" s="382"/>
      <c r="T303" s="382"/>
      <c r="U303" s="382"/>
      <c r="V303" s="382"/>
      <c r="W303" s="382"/>
      <c r="X303" s="382"/>
      <c r="Y303" s="382"/>
      <c r="Z303" s="382"/>
      <c r="AA303" s="382"/>
      <c r="AB303" s="382"/>
      <c r="AC303" s="382"/>
      <c r="AD303" s="382"/>
      <c r="AE303" s="382"/>
      <c r="AF303" s="382"/>
      <c r="AG303" s="398"/>
      <c r="AH303" s="382"/>
      <c r="AI303" s="501" t="str">
        <f>IF($C$178="ASHWOOD 20",'ASHWOOD 20'!$C$123," ")</f>
        <v xml:space="preserve"> </v>
      </c>
      <c r="AJ303" s="378" t="str">
        <f>IF($C$178="ASHWOOD 20",'ASHWOOD 20'!$D$123," ")</f>
        <v xml:space="preserve"> </v>
      </c>
      <c r="AK303" s="380"/>
      <c r="AL303" s="381"/>
      <c r="AM303" s="380"/>
      <c r="AN303" s="381"/>
      <c r="AO303" s="380"/>
      <c r="AP303" s="381"/>
      <c r="AQ303" s="380"/>
      <c r="AR303" s="381"/>
    </row>
    <row r="304" spans="2:44" ht="18" customHeight="1">
      <c r="B304" s="586"/>
      <c r="C304" s="587"/>
      <c r="D304" s="365">
        <f t="shared" si="21"/>
        <v>0</v>
      </c>
      <c r="E304" s="445"/>
      <c r="F304" s="363">
        <f t="shared" si="22"/>
        <v>0</v>
      </c>
      <c r="Q304" s="382"/>
      <c r="R304" s="483"/>
      <c r="S304" s="382"/>
      <c r="T304" s="382"/>
      <c r="U304" s="382"/>
      <c r="V304" s="382"/>
      <c r="W304" s="382"/>
      <c r="X304" s="382"/>
      <c r="Y304" s="382"/>
      <c r="Z304" s="382"/>
      <c r="AA304" s="382"/>
      <c r="AB304" s="382"/>
      <c r="AC304" s="382"/>
      <c r="AD304" s="382"/>
      <c r="AE304" s="382"/>
      <c r="AF304" s="382"/>
      <c r="AG304" s="398"/>
      <c r="AH304" s="382"/>
      <c r="AI304" s="501" t="str">
        <f>IF($C$178="ASHWOOD 20",'ASHWOOD 20'!$C$124," ")</f>
        <v xml:space="preserve"> </v>
      </c>
      <c r="AJ304" s="378" t="str">
        <f>IF($C$178="ASHWOOD 20",'ASHWOOD 20'!$D$124," ")</f>
        <v xml:space="preserve"> </v>
      </c>
      <c r="AK304" s="382"/>
      <c r="AL304" s="382"/>
      <c r="AM304" s="382"/>
      <c r="AN304" s="382"/>
      <c r="AO304" s="382"/>
      <c r="AP304" s="382"/>
      <c r="AQ304" s="382"/>
      <c r="AR304" s="382"/>
    </row>
    <row r="305" spans="2:44" ht="18" customHeight="1">
      <c r="B305" s="586"/>
      <c r="C305" s="587"/>
      <c r="D305" s="365">
        <f t="shared" si="21"/>
        <v>0</v>
      </c>
      <c r="E305" s="445"/>
      <c r="F305" s="363">
        <f t="shared" si="22"/>
        <v>0</v>
      </c>
      <c r="Q305" s="382"/>
      <c r="R305" s="483"/>
      <c r="S305" s="382"/>
      <c r="T305" s="382"/>
      <c r="U305" s="382"/>
      <c r="V305" s="382"/>
      <c r="W305" s="382"/>
      <c r="X305" s="382"/>
      <c r="Y305" s="382"/>
      <c r="Z305" s="382"/>
      <c r="AA305" s="382"/>
      <c r="AB305" s="382"/>
      <c r="AC305" s="382"/>
      <c r="AD305" s="382"/>
      <c r="AE305" s="382"/>
      <c r="AF305" s="382"/>
      <c r="AG305" s="398"/>
      <c r="AH305" s="382"/>
      <c r="AI305" s="501" t="str">
        <f>IF($C$178="ASHWOOD 20",'ASHWOOD 20'!$C$125," ")</f>
        <v xml:space="preserve"> </v>
      </c>
      <c r="AJ305" s="378" t="str">
        <f>IF($C$178="ASHWOOD 20",'ASHWOOD 20'!$D$125," ")</f>
        <v xml:space="preserve"> </v>
      </c>
      <c r="AK305" s="382"/>
      <c r="AL305" s="382"/>
      <c r="AM305" s="382"/>
      <c r="AN305" s="382"/>
      <c r="AO305" s="382"/>
      <c r="AP305" s="382"/>
      <c r="AQ305" s="382"/>
      <c r="AR305" s="382"/>
    </row>
    <row r="306" spans="2:44" ht="18" customHeight="1">
      <c r="B306" s="586"/>
      <c r="C306" s="587"/>
      <c r="D306" s="365">
        <f t="shared" si="21"/>
        <v>0</v>
      </c>
      <c r="E306" s="445"/>
      <c r="F306" s="363">
        <f t="shared" si="22"/>
        <v>0</v>
      </c>
      <c r="Q306" s="374" t="str">
        <f>IF($C$178="MALVERN 20",'MALVERN 20'!$C$4," ")</f>
        <v xml:space="preserve"> </v>
      </c>
      <c r="R306" s="375" t="str">
        <f>IF($C$178="MALVERN 20",'MALVERN 20'!$D$4," ")</f>
        <v xml:space="preserve"> </v>
      </c>
      <c r="S306" s="374" t="str">
        <f>IF($C$178="MALVERN 20",'MALVERN 20'!$C$19," ")</f>
        <v xml:space="preserve"> </v>
      </c>
      <c r="T306" s="375" t="str">
        <f>IF($C$178="MALVERN 20",'MALVERN 20'!$D$19," ")</f>
        <v xml:space="preserve"> </v>
      </c>
      <c r="U306" s="374" t="str">
        <f>IF($C$178="MALVERN 20",'MALVERN 20'!$C$29," ")</f>
        <v xml:space="preserve"> </v>
      </c>
      <c r="V306" s="375" t="str">
        <f>IF($C$178="MALVERN 20",'MALVERN 20'!$D$29," ")</f>
        <v xml:space="preserve"> </v>
      </c>
      <c r="W306" s="374" t="str">
        <f>IF($C$178="MALVERN 20",'MALVERN 20'!$C$42," ")</f>
        <v xml:space="preserve"> </v>
      </c>
      <c r="X306" s="375" t="str">
        <f>IF($C$178="MALVERN 20",'MALVERN 20'!$D$42," ")</f>
        <v xml:space="preserve"> </v>
      </c>
      <c r="Y306" s="374" t="str">
        <f>IF($C$178="MALVERN 20",'MALVERN 20'!$C$52," ")</f>
        <v xml:space="preserve"> </v>
      </c>
      <c r="Z306" s="375" t="str">
        <f>IF($C$178="MALVERN 20",'MALVERN 20'!$D$52," ")</f>
        <v xml:space="preserve"> </v>
      </c>
      <c r="AA306" s="374" t="str">
        <f>IF($C$178="MALVERN 20",'MALVERN 20'!$C$60," ")</f>
        <v xml:space="preserve"> </v>
      </c>
      <c r="AB306" s="375" t="str">
        <f>IF($C$178="MALVERN 20",'MALVERN 20'!$D$60," ")</f>
        <v xml:space="preserve"> </v>
      </c>
      <c r="AC306" s="374" t="str">
        <f>IF($C$178="MALVERN 20",'MALVERN 20'!$C$66," ")</f>
        <v xml:space="preserve"> </v>
      </c>
      <c r="AD306" s="375" t="str">
        <f>IF($C$178="MALVERN 20",'MALVERN 20'!$D$66," ")</f>
        <v xml:space="preserve"> </v>
      </c>
      <c r="AE306" s="374" t="str">
        <f>IF($C$178="MALVERN 20",'MALVERN 20'!$C$75," ")</f>
        <v xml:space="preserve"> </v>
      </c>
      <c r="AF306" s="375" t="str">
        <f>IF($C$178="MALVERN 20",'MALVERN 20'!$D$75," ")</f>
        <v xml:space="preserve"> </v>
      </c>
      <c r="AG306" s="500" t="str">
        <f>IF($C$178="MALVERN 20",'MALVERN 20'!$C$81," ")</f>
        <v xml:space="preserve"> </v>
      </c>
      <c r="AH306" s="375" t="str">
        <f>IF($C$178="MALVERN 20",'MALVERN 20'!$D$81," ")</f>
        <v xml:space="preserve"> </v>
      </c>
      <c r="AI306" s="500" t="str">
        <f>IF($C$178="MALVERN 20",'MALVERN 20'!$C$101," ")</f>
        <v xml:space="preserve"> </v>
      </c>
      <c r="AJ306" s="375" t="str">
        <f>IF($C$178="MALVERN 20",'MALVERN 20'!$D$101," ")</f>
        <v xml:space="preserve"> </v>
      </c>
      <c r="AK306" s="374" t="str">
        <f>IF($C$178="MALVERN 20",'MALVERN 20'!$C$126," ")</f>
        <v xml:space="preserve"> </v>
      </c>
      <c r="AL306" s="375" t="str">
        <f>IF($C$178="MALVERN 20",'MALVERN 20'!$D$126," ")</f>
        <v xml:space="preserve"> </v>
      </c>
      <c r="AM306" s="374" t="str">
        <f>IF($C$178="MALVERN 20",'MALVERN 20'!$C$135," ")</f>
        <v xml:space="preserve"> </v>
      </c>
      <c r="AN306" s="375" t="str">
        <f>IF($C$178="MALVERN 20",'MALVERN 20'!$D$135," ")</f>
        <v xml:space="preserve"> </v>
      </c>
      <c r="AO306" s="374" t="str">
        <f>IF($C$178="MALVERN 20",'MALVERN 20'!$C$149," ")</f>
        <v xml:space="preserve"> </v>
      </c>
      <c r="AP306" s="375" t="str">
        <f>IF($C$178="MALVERN 20",'MALVERN 20'!$D$149," ")</f>
        <v xml:space="preserve"> </v>
      </c>
      <c r="AQ306" s="374" t="str">
        <f>IF($C$178="MALVERN 20",'MALVERN 20'!$C$156," ")</f>
        <v xml:space="preserve"> </v>
      </c>
      <c r="AR306" s="375" t="str">
        <f>IF($C$178="MALVERN 20",'MALVERN 20'!$D$156," ")</f>
        <v xml:space="preserve"> </v>
      </c>
    </row>
    <row r="307" spans="2:44" ht="18" customHeight="1">
      <c r="B307" s="586"/>
      <c r="C307" s="587"/>
      <c r="D307" s="365">
        <f t="shared" si="21"/>
        <v>0</v>
      </c>
      <c r="E307" s="445"/>
      <c r="F307" s="363">
        <f t="shared" si="22"/>
        <v>0</v>
      </c>
      <c r="Q307" s="377" t="str">
        <f>IF($C$178="MALVERN 20",'MALVERN 20'!$C$5," ")</f>
        <v xml:space="preserve"> </v>
      </c>
      <c r="R307" s="378" t="str">
        <f>IF($C$178="MALVERN 20",'MALVERN 20'!$D$5," ")</f>
        <v xml:space="preserve"> </v>
      </c>
      <c r="S307" s="377" t="str">
        <f>IF($C$178="MALVERN 20",'MALVERN 20'!$C$20," ")</f>
        <v xml:space="preserve"> </v>
      </c>
      <c r="T307" s="378" t="str">
        <f>IF($C$178="MALVERN 20",'MALVERN 20'!$D$20," ")</f>
        <v xml:space="preserve"> </v>
      </c>
      <c r="U307" s="377" t="str">
        <f>IF($C$178="MALVERN 20",'MALVERN 20'!$C$30," ")</f>
        <v xml:space="preserve"> </v>
      </c>
      <c r="V307" s="378" t="str">
        <f>IF($C$178="MALVERN 20",'MALVERN 20'!$D$30," ")</f>
        <v xml:space="preserve"> </v>
      </c>
      <c r="W307" s="377" t="str">
        <f>IF($C$178="MALVERN 20",'MALVERN 20'!$C$43," ")</f>
        <v xml:space="preserve"> </v>
      </c>
      <c r="X307" s="378" t="str">
        <f>IF($C$178="MALVERN 20",'MALVERN 20'!$D$43," ")</f>
        <v xml:space="preserve"> </v>
      </c>
      <c r="Y307" s="377" t="str">
        <f>IF($C$178="MALVERN 20",'MALVERN 20'!$C$53," ")</f>
        <v xml:space="preserve"> </v>
      </c>
      <c r="Z307" s="378" t="str">
        <f>IF($C$178="MALVERN 20",'MALVERN 20'!$D$53," ")</f>
        <v xml:space="preserve"> </v>
      </c>
      <c r="AA307" s="377" t="str">
        <f>IF($C$178="MALVERN 20",'MALVERN 20'!$C$61," ")</f>
        <v xml:space="preserve"> </v>
      </c>
      <c r="AB307" s="378" t="str">
        <f>IF($C$178="MALVERN 20",'MALVERN 20'!$D$61," ")</f>
        <v xml:space="preserve"> </v>
      </c>
      <c r="AC307" s="377" t="str">
        <f>IF($C$178="MALVERN 20",'MALVERN 20'!$C$67," ")</f>
        <v xml:space="preserve"> </v>
      </c>
      <c r="AD307" s="378" t="str">
        <f>IF($C$178="MALVERN 20",'MALVERN 20'!$D$67," ")</f>
        <v xml:space="preserve"> </v>
      </c>
      <c r="AE307" s="377" t="str">
        <f>IF($C$178="MALVERN 20",'MALVERN 20'!$C$76," ")</f>
        <v xml:space="preserve"> </v>
      </c>
      <c r="AF307" s="378" t="str">
        <f>IF($C$178="MALVERN 20",'MALVERN 20'!$D$76," ")</f>
        <v xml:space="preserve"> </v>
      </c>
      <c r="AG307" s="501" t="str">
        <f>IF($C$178="MALVERN 20",'MALVERN 20'!$C$82," ")</f>
        <v xml:space="preserve"> </v>
      </c>
      <c r="AH307" s="378" t="str">
        <f>IF($C$178="MALVERN 20",'MALVERN 20'!$D$82," ")</f>
        <v xml:space="preserve"> </v>
      </c>
      <c r="AI307" s="501" t="str">
        <f>IF($C$178="MALVERN 20",'MALVERN 20'!$C$102," ")</f>
        <v xml:space="preserve"> </v>
      </c>
      <c r="AJ307" s="378" t="str">
        <f>IF($C$178="MALVERN 20",'MALVERN 20'!$D$102," ")</f>
        <v xml:space="preserve"> </v>
      </c>
      <c r="AK307" s="377" t="str">
        <f>IF($C$178="MALVERN 20",'MALVERN 20'!$C$127," ")</f>
        <v xml:space="preserve"> </v>
      </c>
      <c r="AL307" s="378" t="str">
        <f>IF($C$178="MALVERN 20",'MALVERN 20'!$D$127," ")</f>
        <v xml:space="preserve"> </v>
      </c>
      <c r="AM307" s="377" t="str">
        <f>IF($C$178="MALVERN 20",'MALVERN 20'!$C$136," ")</f>
        <v xml:space="preserve"> </v>
      </c>
      <c r="AN307" s="378" t="str">
        <f>IF($C$178="MALVERN 20",'MALVERN 20'!$D$136," ")</f>
        <v xml:space="preserve"> </v>
      </c>
      <c r="AO307" s="377" t="str">
        <f>IF($C$178="MALVERN 20",'MALVERN 20'!$C$150," ")</f>
        <v xml:space="preserve"> </v>
      </c>
      <c r="AP307" s="378" t="str">
        <f>IF($C$178="MALVERN 20",'MALVERN 20'!$D$150," ")</f>
        <v xml:space="preserve"> </v>
      </c>
      <c r="AQ307" s="377" t="str">
        <f>IF($C$178="MALVERN 20",'MALVERN 20'!$C$157," ")</f>
        <v xml:space="preserve"> </v>
      </c>
      <c r="AR307" s="378" t="str">
        <f>IF($C$178="MALVERN 20",'MALVERN 20'!$D$157," ")</f>
        <v xml:space="preserve"> </v>
      </c>
    </row>
    <row r="308" spans="2:44" ht="18" customHeight="1">
      <c r="B308" s="586"/>
      <c r="C308" s="587"/>
      <c r="D308" s="365">
        <f t="shared" si="21"/>
        <v>0</v>
      </c>
      <c r="E308" s="445"/>
      <c r="F308" s="363">
        <f t="shared" si="22"/>
        <v>0</v>
      </c>
      <c r="Q308" s="377" t="str">
        <f>IF($C$178="MALVERN 20",'MALVERN 20'!$C$6," ")</f>
        <v xml:space="preserve"> </v>
      </c>
      <c r="R308" s="378" t="str">
        <f>IF($C$178="MALVERN 20",'MALVERN 20'!$D$6," ")</f>
        <v xml:space="preserve"> </v>
      </c>
      <c r="S308" s="377" t="str">
        <f>IF($C$178="MALVERN 20",'MALVERN 20'!$C$21," ")</f>
        <v xml:space="preserve"> </v>
      </c>
      <c r="T308" s="378" t="str">
        <f>IF($C$178="MALVERN 20",'MALVERN 20'!$D$21," ")</f>
        <v xml:space="preserve"> </v>
      </c>
      <c r="U308" s="377" t="str">
        <f>IF($C$178="MALVERN 20",'MALVERN 20'!$C$31," ")</f>
        <v xml:space="preserve"> </v>
      </c>
      <c r="V308" s="378" t="str">
        <f>IF($C$178="MALVERN 20",'MALVERN 20'!$D$31," ")</f>
        <v xml:space="preserve"> </v>
      </c>
      <c r="W308" s="377" t="str">
        <f>IF($C$178="MALVERN 20",'MALVERN 20'!$C$44," ")</f>
        <v xml:space="preserve"> </v>
      </c>
      <c r="X308" s="378" t="str">
        <f>IF($C$178="MALVERN 20",'MALVERN 20'!$D$44," ")</f>
        <v xml:space="preserve"> </v>
      </c>
      <c r="Y308" s="377" t="str">
        <f>IF($C$178="MALVERN 20",'MALVERN 20'!$C$54," ")</f>
        <v xml:space="preserve"> </v>
      </c>
      <c r="Z308" s="378" t="str">
        <f>IF($C$178="MALVERN 20",'MALVERN 20'!$D$54," ")</f>
        <v xml:space="preserve"> </v>
      </c>
      <c r="AA308" s="377" t="str">
        <f>IF($C$178="MALVERN 20",'MALVERN 20'!$C$62," ")</f>
        <v xml:space="preserve"> </v>
      </c>
      <c r="AB308" s="378" t="str">
        <f>IF($C$178="MALVERN 20",'MALVERN 20'!$D$62," ")</f>
        <v xml:space="preserve"> </v>
      </c>
      <c r="AC308" s="377" t="str">
        <f>IF($C$178="MALVERN 20",'MALVERN 20'!$C$68," ")</f>
        <v xml:space="preserve"> </v>
      </c>
      <c r="AD308" s="378" t="str">
        <f>IF($C$178="MALVERN 20",'MALVERN 20'!$D$68," ")</f>
        <v xml:space="preserve"> </v>
      </c>
      <c r="AE308" s="377" t="str">
        <f>IF($C$178="MALVERN 20",'MALVERN 20'!$C$77," ")</f>
        <v xml:space="preserve"> </v>
      </c>
      <c r="AF308" s="378" t="str">
        <f>IF($C$178="MALVERN 20",'MALVERN 20'!$D$77," ")</f>
        <v xml:space="preserve"> </v>
      </c>
      <c r="AG308" s="501" t="str">
        <f>IF($C$178="MALVERN 20",'MALVERN 20'!$C$83," ")</f>
        <v xml:space="preserve"> </v>
      </c>
      <c r="AH308" s="378" t="str">
        <f>IF($C$178="MALVERN 20",'MALVERN 20'!$D$83," ")</f>
        <v xml:space="preserve"> </v>
      </c>
      <c r="AI308" s="501" t="str">
        <f>IF($C$178="MALVERN 20",'MALVERN 20'!$C$103," ")</f>
        <v xml:space="preserve"> </v>
      </c>
      <c r="AJ308" s="378" t="str">
        <f>IF($C$178="MALVERN 20",'MALVERN 20'!$D$103," ")</f>
        <v xml:space="preserve"> </v>
      </c>
      <c r="AK308" s="377" t="str">
        <f>IF($C$178="MALVERN 20",'MALVERN 20'!$C$128," ")</f>
        <v xml:space="preserve"> </v>
      </c>
      <c r="AL308" s="378" t="str">
        <f>IF($C$178="MALVERN 20",'MALVERN 20'!$D$128," ")</f>
        <v xml:space="preserve"> </v>
      </c>
      <c r="AM308" s="377" t="str">
        <f>IF($C$178="MALVERN 20",'MALVERN 20'!$C$137," ")</f>
        <v xml:space="preserve"> </v>
      </c>
      <c r="AN308" s="378" t="str">
        <f>IF($C$178="MALVERN 20",'MALVERN 20'!$D$137," ")</f>
        <v xml:space="preserve"> </v>
      </c>
      <c r="AO308" s="377" t="str">
        <f>IF($C$178="MALVERN 20",'MALVERN 20'!$C$151," ")</f>
        <v xml:space="preserve"> </v>
      </c>
      <c r="AP308" s="378" t="str">
        <f>IF($C$178="MALVERN 20",'MALVERN 20'!$D$151," ")</f>
        <v xml:space="preserve"> </v>
      </c>
      <c r="AQ308" s="377" t="str">
        <f>IF($C$178="MALVERN 20",'MALVERN 20'!$C$158," ")</f>
        <v xml:space="preserve"> </v>
      </c>
      <c r="AR308" s="378" t="str">
        <f>IF($C$178="MALVERN 20",'MALVERN 20'!$D$158," ")</f>
        <v xml:space="preserve"> </v>
      </c>
    </row>
    <row r="309" spans="2:44" ht="18" customHeight="1">
      <c r="B309" s="586"/>
      <c r="C309" s="587"/>
      <c r="D309" s="365">
        <f t="shared" si="21"/>
        <v>0</v>
      </c>
      <c r="E309" s="445"/>
      <c r="F309" s="363">
        <f t="shared" si="22"/>
        <v>0</v>
      </c>
      <c r="Q309" s="377" t="str">
        <f>IF($C$178="MALVERN 20",'MALVERN 20'!$C$7," ")</f>
        <v xml:space="preserve"> </v>
      </c>
      <c r="R309" s="378" t="str">
        <f>IF($C$178="MALVERN 20",'MALVERN 20'!$D$7," ")</f>
        <v xml:space="preserve"> </v>
      </c>
      <c r="S309" s="377" t="str">
        <f>IF($C$178="MALVERN 20",'MALVERN 20'!$C$22," ")</f>
        <v xml:space="preserve"> </v>
      </c>
      <c r="T309" s="378" t="str">
        <f>IF($C$178="MALVERN 20",'MALVERN 20'!$D$22," ")</f>
        <v xml:space="preserve"> </v>
      </c>
      <c r="U309" s="377" t="str">
        <f>IF($C$178="MALVERN 20",'MALVERN 20'!$C$32," ")</f>
        <v xml:space="preserve"> </v>
      </c>
      <c r="V309" s="378" t="str">
        <f>IF($C$178="MALVERN 20",'MALVERN 20'!$D$32," ")</f>
        <v xml:space="preserve"> </v>
      </c>
      <c r="W309" s="377" t="str">
        <f>IF($C$178="MALVERN 20",'MALVERN 20'!$C$45," ")</f>
        <v xml:space="preserve"> </v>
      </c>
      <c r="X309" s="378" t="str">
        <f>IF($C$178="MALVERN 20",'MALVERN 20'!$D$45," ")</f>
        <v xml:space="preserve"> </v>
      </c>
      <c r="Y309" s="377" t="str">
        <f>IF($C$178="MALVERN 20",'MALVERN 20'!$C$55," ")</f>
        <v xml:space="preserve"> </v>
      </c>
      <c r="Z309" s="378" t="str">
        <f>IF($C$178="MALVERN 20",'MALVERN 20'!$D$55," ")</f>
        <v xml:space="preserve"> </v>
      </c>
      <c r="AA309" s="380"/>
      <c r="AB309" s="381"/>
      <c r="AC309" s="377" t="str">
        <f>IF($C$178="MALVERN 20",'MALVERN 20'!$C$69," ")</f>
        <v xml:space="preserve"> </v>
      </c>
      <c r="AD309" s="378" t="str">
        <f>IF($C$178="MALVERN 20",'MALVERN 20'!$D$69," ")</f>
        <v xml:space="preserve"> </v>
      </c>
      <c r="AE309" s="377" t="str">
        <f>IF($C$178="MALVERN 20",'MALVERN 20'!$C$78," ")</f>
        <v xml:space="preserve"> </v>
      </c>
      <c r="AF309" s="378" t="str">
        <f>IF($C$178="MALVERN 20",'MALVERN 20'!$D$78," ")</f>
        <v xml:space="preserve"> </v>
      </c>
      <c r="AG309" s="501" t="str">
        <f>IF($C$178="MALVERN 20",'MALVERN 20'!$C$84," ")</f>
        <v xml:space="preserve"> </v>
      </c>
      <c r="AH309" s="378" t="str">
        <f>IF($C$178="MALVERN 20",'MALVERN 20'!$D$84," ")</f>
        <v xml:space="preserve"> </v>
      </c>
      <c r="AI309" s="501" t="str">
        <f>IF($C$178="MALVERN 20",'MALVERN 20'!$C$104," ")</f>
        <v xml:space="preserve"> </v>
      </c>
      <c r="AJ309" s="378" t="str">
        <f>IF($C$178="MALVERN 20",'MALVERN 20'!$D$104," ")</f>
        <v xml:space="preserve"> </v>
      </c>
      <c r="AK309" s="377" t="str">
        <f>IF($C$178="MALVERN 20",'MALVERN 20'!$C$129," ")</f>
        <v xml:space="preserve"> </v>
      </c>
      <c r="AL309" s="378" t="str">
        <f>IF($C$178="MALVERN 20",'MALVERN 20'!$D$129," ")</f>
        <v xml:space="preserve"> </v>
      </c>
      <c r="AM309" s="377" t="str">
        <f>IF($C$178="MALVERN 20",'MALVERN 20'!$C$138," ")</f>
        <v xml:space="preserve"> </v>
      </c>
      <c r="AN309" s="378" t="str">
        <f>IF($C$178="MALVERN 20",'MALVERN 20'!$D$138," ")</f>
        <v xml:space="preserve"> </v>
      </c>
      <c r="AO309" s="377" t="str">
        <f>IF($C$178="MALVERN 20",'MALVERN 20'!$C$152," ")</f>
        <v xml:space="preserve"> </v>
      </c>
      <c r="AP309" s="378" t="str">
        <f>IF($C$178="MALVERN 20",'MALVERN 20'!$D$152," ")</f>
        <v xml:space="preserve"> </v>
      </c>
      <c r="AQ309" s="377" t="str">
        <f>IF($C$178="MALVERN 20",'MALVERN 20'!$C$159," ")</f>
        <v xml:space="preserve"> </v>
      </c>
      <c r="AR309" s="378" t="str">
        <f>IF($C$178="MALVERN 20",'MALVERN 20'!$D$159," ")</f>
        <v xml:space="preserve"> </v>
      </c>
    </row>
    <row r="310" spans="2:44" ht="18" customHeight="1">
      <c r="B310" s="586"/>
      <c r="C310" s="587"/>
      <c r="D310" s="365">
        <f t="shared" si="21"/>
        <v>0</v>
      </c>
      <c r="E310" s="445"/>
      <c r="F310" s="363">
        <f t="shared" si="22"/>
        <v>0</v>
      </c>
      <c r="Q310" s="377" t="str">
        <f>IF($C$178="MALVERN 20",'MALVERN 20'!$C$8," ")</f>
        <v xml:space="preserve"> </v>
      </c>
      <c r="R310" s="378" t="str">
        <f>IF($C$178="MALVERN 20",'MALVERN 20'!$D$8," ")</f>
        <v xml:space="preserve"> </v>
      </c>
      <c r="S310" s="377" t="str">
        <f>IF($C$178="MALVERN 20",'MALVERN 20'!$C$23," ")</f>
        <v xml:space="preserve"> </v>
      </c>
      <c r="T310" s="378" t="str">
        <f>IF($C$178="MALVERN 20",'MALVERN 20'!$D$23," ")</f>
        <v xml:space="preserve"> </v>
      </c>
      <c r="U310" s="377" t="str">
        <f>IF($C$178="MALVERN 20",'MALVERN 20'!$C$33," ")</f>
        <v xml:space="preserve"> </v>
      </c>
      <c r="V310" s="378" t="str">
        <f>IF($C$178="MALVERN 20",'MALVERN 20'!$D$33," ")</f>
        <v xml:space="preserve"> </v>
      </c>
      <c r="W310" s="377" t="str">
        <f>IF($C$178="MALVERN 20",'MALVERN 20'!$C$46," ")</f>
        <v xml:space="preserve"> </v>
      </c>
      <c r="X310" s="378" t="str">
        <f>IF($C$178="MALVERN 20",'MALVERN 20'!$D$46," ")</f>
        <v xml:space="preserve"> </v>
      </c>
      <c r="Y310" s="377" t="str">
        <f>IF($C$178="MALVERN 20",'MALVERN 20'!$C$56," ")</f>
        <v xml:space="preserve"> </v>
      </c>
      <c r="Z310" s="378" t="str">
        <f>IF($C$178="MALVERN 20",'MALVERN 20'!$D$56," ")</f>
        <v xml:space="preserve"> </v>
      </c>
      <c r="AA310" s="380"/>
      <c r="AB310" s="381"/>
      <c r="AC310" s="377" t="str">
        <f>IF($C$178="MALVERN 20",'MALVERN 20'!$C$70," ")</f>
        <v xml:space="preserve"> </v>
      </c>
      <c r="AD310" s="378" t="str">
        <f>IF($C$178="MALVERN 20",'MALVERN 20'!$D$70," ")</f>
        <v xml:space="preserve"> </v>
      </c>
      <c r="AE310" s="382"/>
      <c r="AF310" s="382"/>
      <c r="AG310" s="501" t="str">
        <f>IF($C$178="MALVERN 20",'MALVERN 20'!$C$85," ")</f>
        <v xml:space="preserve"> </v>
      </c>
      <c r="AH310" s="378" t="str">
        <f>IF($C$178="MALVERN 20",'MALVERN 20'!$D$85," ")</f>
        <v xml:space="preserve"> </v>
      </c>
      <c r="AI310" s="501" t="str">
        <f>IF($C$178="MALVERN 20",'MALVERN 20'!$C$105," ")</f>
        <v xml:space="preserve"> </v>
      </c>
      <c r="AJ310" s="378" t="str">
        <f>IF($C$178="MALVERN 20",'MALVERN 20'!$D$105," ")</f>
        <v xml:space="preserve"> </v>
      </c>
      <c r="AK310" s="377" t="str">
        <f>IF($C$178="MALVERN 20",'MALVERN 20'!$C$130," ")</f>
        <v xml:space="preserve"> </v>
      </c>
      <c r="AL310" s="378" t="str">
        <f>IF($C$178="MALVERN 20",'MALVERN 20'!$D$130," ")</f>
        <v xml:space="preserve"> </v>
      </c>
      <c r="AM310" s="377" t="str">
        <f>IF($C$178="MALVERN 20",'MALVERN 20'!$C$139," ")</f>
        <v xml:space="preserve"> </v>
      </c>
      <c r="AN310" s="378" t="str">
        <f>IF($C$178="MALVERN 20",'MALVERN 20'!$D$139," ")</f>
        <v xml:space="preserve"> </v>
      </c>
      <c r="AO310" s="377" t="str">
        <f>IF($C$178="MALVERN 20",'MALVERN 20'!$C$153," ")</f>
        <v xml:space="preserve"> </v>
      </c>
      <c r="AP310" s="378" t="str">
        <f>IF($C$178="MALVERN 20",'MALVERN 20'!$D$153," ")</f>
        <v xml:space="preserve"> </v>
      </c>
      <c r="AQ310" s="377" t="str">
        <f>IF($C$178="MALVERN 20",'MALVERN 20'!$C$160," ")</f>
        <v xml:space="preserve"> </v>
      </c>
      <c r="AR310" s="378" t="str">
        <f>IF($C$178="MALVERN 20",'MALVERN 20'!$D$160," ")</f>
        <v xml:space="preserve"> </v>
      </c>
    </row>
    <row r="311" spans="2:44" ht="18" customHeight="1">
      <c r="B311" s="586"/>
      <c r="C311" s="587"/>
      <c r="D311" s="365">
        <f t="shared" si="21"/>
        <v>0</v>
      </c>
      <c r="E311" s="445"/>
      <c r="F311" s="363">
        <f t="shared" si="22"/>
        <v>0</v>
      </c>
      <c r="Q311" s="377" t="str">
        <f>IF($C$178="MALVERN 20",'MALVERN 20'!$C$9," ")</f>
        <v xml:space="preserve"> </v>
      </c>
      <c r="R311" s="378" t="str">
        <f>IF($C$178="MALVERN 20",'MALVERN 20'!$D$9," ")</f>
        <v xml:space="preserve"> </v>
      </c>
      <c r="S311" s="377" t="str">
        <f>IF($C$178="MALVERN 20",'MALVERN 20'!$C$24," ")</f>
        <v xml:space="preserve"> </v>
      </c>
      <c r="T311" s="378" t="str">
        <f>IF($C$178="MALVERN 20",'MALVERN 20'!$D$24," ")</f>
        <v xml:space="preserve"> </v>
      </c>
      <c r="U311" s="377" t="str">
        <f>IF($C$178="MALVERN 20",'MALVERN 20'!$C$34," ")</f>
        <v xml:space="preserve"> </v>
      </c>
      <c r="V311" s="378" t="str">
        <f>IF($C$178="MALVERN 20",'MALVERN 20'!$D$34," ")</f>
        <v xml:space="preserve"> </v>
      </c>
      <c r="W311" s="377" t="str">
        <f>IF($C$178="MALVERN 20",'MALVERN 20'!$C$47," ")</f>
        <v xml:space="preserve"> </v>
      </c>
      <c r="X311" s="378" t="str">
        <f>IF($C$178="MALVERN 20",'MALVERN 20'!$D$47," ")</f>
        <v xml:space="preserve"> </v>
      </c>
      <c r="Y311" s="377" t="str">
        <f>IF($C$178="MALVERN 20",'MALVERN 20'!$C$57," ")</f>
        <v xml:space="preserve"> </v>
      </c>
      <c r="Z311" s="378" t="str">
        <f>IF($C$178="MALVERN 20",'MALVERN 20'!$D$57," ")</f>
        <v xml:space="preserve"> </v>
      </c>
      <c r="AA311" s="380"/>
      <c r="AB311" s="381"/>
      <c r="AC311" s="377" t="str">
        <f>IF($C$178="MALVERN 20",'MALVERN 20'!$C$71," ")</f>
        <v xml:space="preserve"> </v>
      </c>
      <c r="AD311" s="378" t="str">
        <f>IF($C$178="MALVERN 20",'MALVERN 20'!$D$71," ")</f>
        <v xml:space="preserve"> </v>
      </c>
      <c r="AE311" s="382"/>
      <c r="AF311" s="382"/>
      <c r="AG311" s="501" t="str">
        <f>IF($C$178="MALVERN 20",'MALVERN 20'!$C$86," ")</f>
        <v xml:space="preserve"> </v>
      </c>
      <c r="AH311" s="378" t="str">
        <f>IF($C$178="MALVERN 20",'MALVERN 20'!$D$86," ")</f>
        <v xml:space="preserve"> </v>
      </c>
      <c r="AI311" s="501" t="str">
        <f>IF($C$178="MALVERN 20",'MALVERN 20'!$C$106," ")</f>
        <v xml:space="preserve"> </v>
      </c>
      <c r="AJ311" s="378" t="str">
        <f>IF($C$178="MALVERN 20",'MALVERN 20'!$D$106," ")</f>
        <v xml:space="preserve"> </v>
      </c>
      <c r="AK311" s="377" t="str">
        <f>IF($C$178="MALVERN 20",'MALVERN 20'!$C$131," ")</f>
        <v xml:space="preserve"> </v>
      </c>
      <c r="AL311" s="378" t="str">
        <f>IF($C$178="MALVERN 20",'MALVERN 20'!$D$131," ")</f>
        <v xml:space="preserve"> </v>
      </c>
      <c r="AM311" s="377" t="str">
        <f>IF($C$178="MALVERN 20",'MALVERN 20'!$C$140," ")</f>
        <v xml:space="preserve"> </v>
      </c>
      <c r="AN311" s="378" t="str">
        <f>IF($C$178="MALVERN 20",'MALVERN 20'!$D$140," ")</f>
        <v xml:space="preserve"> </v>
      </c>
      <c r="AO311" s="380"/>
      <c r="AP311" s="381"/>
      <c r="AQ311" s="377" t="str">
        <f>IF($C$178="MALVERN 20",'MALVERN 20'!$C$161," ")</f>
        <v xml:space="preserve"> </v>
      </c>
      <c r="AR311" s="378" t="str">
        <f>IF($C$178="MALVERN 20",'MALVERN 20'!$D$161," ")</f>
        <v xml:space="preserve"> </v>
      </c>
    </row>
    <row r="312" spans="2:44" ht="18" customHeight="1">
      <c r="B312" s="586"/>
      <c r="C312" s="587"/>
      <c r="D312" s="365">
        <f t="shared" si="21"/>
        <v>0</v>
      </c>
      <c r="E312" s="445"/>
      <c r="F312" s="363">
        <f t="shared" si="22"/>
        <v>0</v>
      </c>
      <c r="Q312" s="377" t="str">
        <f>IF($C$178="MALVERN 20",'MALVERN 20'!$C$10," ")</f>
        <v xml:space="preserve"> </v>
      </c>
      <c r="R312" s="378" t="str">
        <f>IF($C$178="MALVERN 20",'MALVERN 20'!$D$10," ")</f>
        <v xml:space="preserve"> </v>
      </c>
      <c r="S312" s="377" t="str">
        <f>IF($C$178="MALVERN 20",'MALVERN 20'!$C$25," ")</f>
        <v xml:space="preserve"> </v>
      </c>
      <c r="T312" s="378" t="str">
        <f>IF($C$178="MALVERN 20",'MALVERN 20'!$D$25," ")</f>
        <v xml:space="preserve"> </v>
      </c>
      <c r="U312" s="377" t="str">
        <f>IF($C$178="MALVERN 20",'MALVERN 20'!$C$35," ")</f>
        <v xml:space="preserve"> </v>
      </c>
      <c r="V312" s="378" t="str">
        <f>IF($C$178="MALVERN 20",'MALVERN 20'!$D$35," ")</f>
        <v xml:space="preserve"> </v>
      </c>
      <c r="W312" s="377" t="str">
        <f>IF($C$178="MALVERN 20",'MALVERN 20'!$C$48," ")</f>
        <v xml:space="preserve"> </v>
      </c>
      <c r="X312" s="378" t="str">
        <f>IF($C$178="MALVERN 20",'MALVERN 20'!$D$48," ")</f>
        <v xml:space="preserve"> </v>
      </c>
      <c r="Y312" s="380"/>
      <c r="Z312" s="381"/>
      <c r="AA312" s="380"/>
      <c r="AB312" s="381"/>
      <c r="AC312" s="377" t="str">
        <f>IF($C$178="MALVERN 20",'MALVERN 20'!$C$72," ")</f>
        <v xml:space="preserve"> </v>
      </c>
      <c r="AD312" s="378" t="str">
        <f>IF($C$178="MALVERN 20",'MALVERN 20'!$D$72," ")</f>
        <v xml:space="preserve"> </v>
      </c>
      <c r="AE312" s="382"/>
      <c r="AF312" s="382"/>
      <c r="AG312" s="501" t="str">
        <f>IF($C$178="MALVERN 20",'MALVERN 20'!$C$87," ")</f>
        <v xml:space="preserve"> </v>
      </c>
      <c r="AH312" s="378" t="str">
        <f>IF($C$178="MALVERN 20",'MALVERN 20'!$D$87," ")</f>
        <v xml:space="preserve"> </v>
      </c>
      <c r="AI312" s="501" t="str">
        <f>IF($C$178="MALVERN 20",'MALVERN 20'!$C$107," ")</f>
        <v xml:space="preserve"> </v>
      </c>
      <c r="AJ312" s="378" t="str">
        <f>IF($C$178="MALVERN 20",'MALVERN 20'!$D$107," ")</f>
        <v xml:space="preserve"> </v>
      </c>
      <c r="AK312" s="377" t="str">
        <f>IF($C$178="MALVERN 20",'MALVERN 20'!$C$132," ")</f>
        <v xml:space="preserve"> </v>
      </c>
      <c r="AL312" s="378" t="str">
        <f>IF($C$178="MALVERN 20",'MALVERN 20'!$D$132," ")</f>
        <v xml:space="preserve"> </v>
      </c>
      <c r="AM312" s="377" t="str">
        <f>IF($C$178="MALVERN 20",'MALVERN 20'!$C$141," ")</f>
        <v xml:space="preserve"> </v>
      </c>
      <c r="AN312" s="378" t="str">
        <f>IF($C$178="MALVERN 20",'MALVERN 20'!$D$141," ")</f>
        <v xml:space="preserve"> </v>
      </c>
      <c r="AO312" s="380"/>
      <c r="AP312" s="381"/>
      <c r="AQ312" s="377" t="str">
        <f>IF($C$178="MALVERN 20",'MALVERN 20'!$C$162," ")</f>
        <v xml:space="preserve"> </v>
      </c>
      <c r="AR312" s="378" t="str">
        <f>IF($C$178="MALVERN 20",'MALVERN 20'!$D$162," ")</f>
        <v xml:space="preserve"> </v>
      </c>
    </row>
    <row r="313" spans="2:44" ht="18" customHeight="1">
      <c r="B313" s="586"/>
      <c r="C313" s="587"/>
      <c r="D313" s="365">
        <f t="shared" si="21"/>
        <v>0</v>
      </c>
      <c r="E313" s="447"/>
      <c r="F313" s="363">
        <f t="shared" si="22"/>
        <v>0</v>
      </c>
      <c r="Q313" s="377"/>
      <c r="R313" s="378"/>
      <c r="S313" s="377"/>
      <c r="T313" s="378"/>
      <c r="U313" s="377"/>
      <c r="V313" s="378"/>
      <c r="W313" s="377"/>
      <c r="X313" s="378"/>
      <c r="Y313" s="380"/>
      <c r="Z313" s="381"/>
      <c r="AA313" s="380"/>
      <c r="AB313" s="381"/>
      <c r="AC313" s="377"/>
      <c r="AD313" s="378"/>
      <c r="AE313" s="382"/>
      <c r="AF313" s="382"/>
      <c r="AG313" s="501"/>
      <c r="AH313" s="378"/>
      <c r="AI313" s="501"/>
      <c r="AJ313" s="378"/>
      <c r="AK313" s="377"/>
      <c r="AL313" s="378"/>
      <c r="AM313" s="377"/>
      <c r="AN313" s="378"/>
      <c r="AO313" s="380"/>
      <c r="AP313" s="381"/>
      <c r="AQ313" s="377"/>
      <c r="AR313" s="378"/>
    </row>
    <row r="314" spans="2:44" ht="18" customHeight="1">
      <c r="B314" s="588" t="s">
        <v>1136</v>
      </c>
      <c r="C314" s="589"/>
      <c r="D314" s="589"/>
      <c r="E314" s="589"/>
      <c r="F314" s="590"/>
      <c r="Q314" s="377" t="str">
        <f>IF($C$178="MALVERN 20",'MALVERN 20'!$C$11," ")</f>
        <v xml:space="preserve"> </v>
      </c>
      <c r="R314" s="378" t="str">
        <f>IF($C$178="MALVERN 20",'MALVERN 20'!$D$11," ")</f>
        <v xml:space="preserve"> </v>
      </c>
      <c r="S314" s="380"/>
      <c r="T314" s="381"/>
      <c r="U314" s="377" t="str">
        <f>IF($C$178="MALVERN 20",'MALVERN 20'!$C$36," ")</f>
        <v xml:space="preserve"> </v>
      </c>
      <c r="V314" s="378" t="str">
        <f>IF($C$178="MALVERN 20",'MALVERN 20'!$D$36," ")</f>
        <v xml:space="preserve"> </v>
      </c>
      <c r="W314" s="377" t="str">
        <f>IF($C$178="MALVERN 20",'MALVERN 20'!$C$49," ")</f>
        <v xml:space="preserve"> </v>
      </c>
      <c r="X314" s="378" t="str">
        <f>IF($C$178="MALVERN 20",'MALVERN 20'!$D$49," ")</f>
        <v xml:space="preserve"> </v>
      </c>
      <c r="Y314" s="380"/>
      <c r="Z314" s="381"/>
      <c r="AA314" s="380"/>
      <c r="AB314" s="381"/>
      <c r="AC314" s="382"/>
      <c r="AD314" s="382"/>
      <c r="AE314" s="382"/>
      <c r="AF314" s="382"/>
      <c r="AG314" s="501" t="str">
        <f>IF($C$178="MALVERN 20",'MALVERN 20'!$C$88," ")</f>
        <v xml:space="preserve"> </v>
      </c>
      <c r="AH314" s="378" t="str">
        <f>IF($C$178="MALVERN 20",'MALVERN 20'!$D$88," ")</f>
        <v xml:space="preserve"> </v>
      </c>
      <c r="AI314" s="501" t="str">
        <f>IF($C$178="MALVERN 20",'MALVERN 20'!$C$108," ")</f>
        <v xml:space="preserve"> </v>
      </c>
      <c r="AJ314" s="378" t="str">
        <f>IF($C$178="MALVERN 20",'MALVERN 20'!$D$108," ")</f>
        <v xml:space="preserve"> </v>
      </c>
      <c r="AK314" s="380"/>
      <c r="AL314" s="381"/>
      <c r="AM314" s="377" t="str">
        <f>IF($C$178="MALVERN 20",'MALVERN 20'!$C$142," ")</f>
        <v xml:space="preserve"> </v>
      </c>
      <c r="AN314" s="378" t="str">
        <f>IF($C$178="MALVERN 20",'MALVERN 20'!$D$142," ")</f>
        <v xml:space="preserve"> </v>
      </c>
      <c r="AO314" s="380"/>
      <c r="AP314" s="381"/>
      <c r="AQ314" s="380"/>
      <c r="AR314" s="381"/>
    </row>
    <row r="315" spans="2:44" ht="18" customHeight="1">
      <c r="B315" s="586"/>
      <c r="C315" s="587"/>
      <c r="D315" s="365">
        <f t="shared" ref="D315:D333" si="23">_xlfn.XLOOKUP($B315,$AK$173:$AK$393,$AL$173:$AL$393)</f>
        <v>0</v>
      </c>
      <c r="E315" s="445"/>
      <c r="F315" s="363">
        <f t="shared" ref="F315:F333" si="24">SUM(E315-D315)</f>
        <v>0</v>
      </c>
      <c r="Q315" s="377" t="str">
        <f>IF($C$178="MALVERN 20",'MALVERN 20'!$C$12," ")</f>
        <v xml:space="preserve"> </v>
      </c>
      <c r="R315" s="378" t="str">
        <f>IF($C$178="MALVERN 20",'MALVERN 20'!$D$12," ")</f>
        <v xml:space="preserve"> </v>
      </c>
      <c r="S315" s="380"/>
      <c r="T315" s="381"/>
      <c r="U315" s="377" t="str">
        <f>IF($C$178="MALVERN 20",'MALVERN 20'!$C$37," ")</f>
        <v xml:space="preserve"> </v>
      </c>
      <c r="V315" s="378" t="str">
        <f>IF($C$178="MALVERN 20",'MALVERN 20'!$D$37," ")</f>
        <v xml:space="preserve"> </v>
      </c>
      <c r="W315" s="380"/>
      <c r="X315" s="381"/>
      <c r="Y315" s="380"/>
      <c r="Z315" s="381"/>
      <c r="AA315" s="380"/>
      <c r="AB315" s="381"/>
      <c r="AC315" s="382"/>
      <c r="AD315" s="382"/>
      <c r="AE315" s="382"/>
      <c r="AF315" s="382"/>
      <c r="AG315" s="501" t="str">
        <f>IF($C$178="MALVERN 20",'MALVERN 20'!$C$89," ")</f>
        <v xml:space="preserve"> </v>
      </c>
      <c r="AH315" s="378" t="str">
        <f>IF($C$178="MALVERN 20",'MALVERN 20'!$D$89," ")</f>
        <v xml:space="preserve"> </v>
      </c>
      <c r="AI315" s="501" t="str">
        <f>IF($C$178="MALVERN 20",'MALVERN 20'!$C$109," ")</f>
        <v xml:space="preserve"> </v>
      </c>
      <c r="AJ315" s="378" t="str">
        <f>IF($C$178="MALVERN 20",'MALVERN 20'!$D$109," ")</f>
        <v xml:space="preserve"> </v>
      </c>
      <c r="AK315" s="380"/>
      <c r="AL315" s="381"/>
      <c r="AM315" s="377" t="str">
        <f>IF($C$178="MALVERN 20",'MALVERN 20'!$C$143," ")</f>
        <v xml:space="preserve"> </v>
      </c>
      <c r="AN315" s="378" t="str">
        <f>IF($C$178="MALVERN 20",'MALVERN 20'!$D$143," ")</f>
        <v xml:space="preserve"> </v>
      </c>
      <c r="AO315" s="380"/>
      <c r="AP315" s="381"/>
      <c r="AQ315" s="380"/>
      <c r="AR315" s="381"/>
    </row>
    <row r="316" spans="2:44" ht="18" customHeight="1">
      <c r="B316" s="586"/>
      <c r="C316" s="587"/>
      <c r="D316" s="365">
        <f t="shared" si="23"/>
        <v>0</v>
      </c>
      <c r="E316" s="445"/>
      <c r="F316" s="363">
        <f t="shared" si="24"/>
        <v>0</v>
      </c>
      <c r="Q316" s="377" t="str">
        <f>IF($C$178="MALVERN 20",'MALVERN 20'!$C$13," ")</f>
        <v xml:space="preserve"> </v>
      </c>
      <c r="R316" s="378" t="str">
        <f>IF($C$178="MALVERN 20",'MALVERN 20'!$D$13," ")</f>
        <v xml:space="preserve"> </v>
      </c>
      <c r="S316" s="382"/>
      <c r="T316" s="382"/>
      <c r="U316" s="377" t="str">
        <f>IF($C$178="MALVERN 20",'MALVERN 20'!$C$38," ")</f>
        <v xml:space="preserve"> </v>
      </c>
      <c r="V316" s="378" t="str">
        <f>IF($C$178="MALVERN 20",'MALVERN 20'!$D$38," ")</f>
        <v xml:space="preserve"> </v>
      </c>
      <c r="W316" s="380"/>
      <c r="X316" s="381"/>
      <c r="Y316" s="380"/>
      <c r="Z316" s="381"/>
      <c r="AA316" s="380"/>
      <c r="AB316" s="381"/>
      <c r="AC316" s="382"/>
      <c r="AD316" s="382"/>
      <c r="AE316" s="382"/>
      <c r="AF316" s="382"/>
      <c r="AG316" s="501" t="str">
        <f>IF($C$178="MALVERN 20",'MALVERN 20'!$C$90," ")</f>
        <v xml:space="preserve"> </v>
      </c>
      <c r="AH316" s="378" t="str">
        <f>IF($C$178="MALVERN 20",'MALVERN 20'!$D$90," ")</f>
        <v xml:space="preserve"> </v>
      </c>
      <c r="AI316" s="501" t="str">
        <f>IF($C$178="MALVERN 20",'MALVERN 20'!$C$110," ")</f>
        <v xml:space="preserve"> </v>
      </c>
      <c r="AJ316" s="378" t="str">
        <f>IF($C$178="MALVERN 20",'MALVERN 20'!$D$110," ")</f>
        <v xml:space="preserve"> </v>
      </c>
      <c r="AK316" s="380"/>
      <c r="AL316" s="381"/>
      <c r="AM316" s="377" t="str">
        <f>IF($C$178="MALVERN 20",'MALVERN 20'!$C$144," ")</f>
        <v xml:space="preserve"> </v>
      </c>
      <c r="AN316" s="378" t="str">
        <f>IF($C$178="MALVERN 20",'MALVERN 20'!$D$144," ")</f>
        <v xml:space="preserve"> </v>
      </c>
      <c r="AO316" s="380"/>
      <c r="AP316" s="381"/>
      <c r="AQ316" s="380"/>
      <c r="AR316" s="381"/>
    </row>
    <row r="317" spans="2:44" ht="18" customHeight="1">
      <c r="B317" s="586"/>
      <c r="C317" s="587"/>
      <c r="D317" s="365">
        <f t="shared" si="23"/>
        <v>0</v>
      </c>
      <c r="E317" s="446"/>
      <c r="F317" s="363">
        <f t="shared" si="24"/>
        <v>0</v>
      </c>
      <c r="Q317" s="377" t="str">
        <f>IF($C$178="MALVERN 20",'MALVERN 20'!$C$14," ")</f>
        <v xml:space="preserve"> </v>
      </c>
      <c r="R317" s="378" t="str">
        <f>IF($C$178="MALVERN 20",'MALVERN 20'!$D$14," ")</f>
        <v xml:space="preserve"> </v>
      </c>
      <c r="S317" s="382"/>
      <c r="T317" s="382"/>
      <c r="U317" s="377" t="str">
        <f>IF($C$178="MALVERN 20",'MALVERN 20'!$C$39," ")</f>
        <v xml:space="preserve"> </v>
      </c>
      <c r="V317" s="378" t="str">
        <f>IF($C$178="MALVERN 20",'MALVERN 20'!$D$39," ")</f>
        <v xml:space="preserve"> </v>
      </c>
      <c r="W317" s="380"/>
      <c r="X317" s="381"/>
      <c r="Y317" s="380"/>
      <c r="Z317" s="381"/>
      <c r="AA317" s="380"/>
      <c r="AB317" s="381"/>
      <c r="AC317" s="382"/>
      <c r="AD317" s="382"/>
      <c r="AE317" s="382"/>
      <c r="AF317" s="382"/>
      <c r="AG317" s="501" t="str">
        <f>IF($C$178="MALVERN 20",'MALVERN 20'!$C$91," ")</f>
        <v xml:space="preserve"> </v>
      </c>
      <c r="AH317" s="378" t="str">
        <f>IF($C$178="MALVERN 20",'MALVERN 20'!$D$91," ")</f>
        <v xml:space="preserve"> </v>
      </c>
      <c r="AI317" s="501" t="str">
        <f>IF($C$178="MALVERN 20",'MALVERN 20'!$C$111," ")</f>
        <v xml:space="preserve"> </v>
      </c>
      <c r="AJ317" s="378" t="str">
        <f>IF($C$178="MALVERN 20",'MALVERN 20'!$D$111," ")</f>
        <v xml:space="preserve"> </v>
      </c>
      <c r="AK317" s="380"/>
      <c r="AL317" s="381"/>
      <c r="AM317" s="377" t="str">
        <f>IF($C$178="MALVERN 20",'MALVERN 20'!$C$145," ")</f>
        <v xml:space="preserve"> </v>
      </c>
      <c r="AN317" s="378" t="str">
        <f>IF($C$178="MALVERN 20",'MALVERN 20'!$D$145," ")</f>
        <v xml:space="preserve"> </v>
      </c>
      <c r="AO317" s="380"/>
      <c r="AP317" s="381"/>
      <c r="AQ317" s="380"/>
      <c r="AR317" s="381"/>
    </row>
    <row r="318" spans="2:44" ht="18" customHeight="1">
      <c r="B318" s="586"/>
      <c r="C318" s="587"/>
      <c r="D318" s="365">
        <f t="shared" si="23"/>
        <v>0</v>
      </c>
      <c r="E318" s="446"/>
      <c r="F318" s="363">
        <f t="shared" si="24"/>
        <v>0</v>
      </c>
      <c r="Q318" s="377" t="str">
        <f>IF($C$178="MALVERN 20",'MALVERN 20'!$C$15," ")</f>
        <v xml:space="preserve"> </v>
      </c>
      <c r="R318" s="378" t="str">
        <f>IF($C$178="MALVERN 20",'MALVERN 20'!$D$15," ")</f>
        <v xml:space="preserve"> </v>
      </c>
      <c r="S318" s="382"/>
      <c r="T318" s="382"/>
      <c r="U318" s="380"/>
      <c r="V318" s="381"/>
      <c r="W318" s="380"/>
      <c r="X318" s="381"/>
      <c r="Y318" s="380"/>
      <c r="Z318" s="381"/>
      <c r="AA318" s="380"/>
      <c r="AB318" s="381"/>
      <c r="AC318" s="382"/>
      <c r="AD318" s="382"/>
      <c r="AE318" s="382"/>
      <c r="AF318" s="382"/>
      <c r="AG318" s="501" t="str">
        <f>IF($C$178="MALVERN 20",'MALVERN 20'!$C$92," ")</f>
        <v xml:space="preserve"> </v>
      </c>
      <c r="AH318" s="378" t="str">
        <f>IF($C$178="MALVERN 20",'MALVERN 20'!$D$92," ")</f>
        <v xml:space="preserve"> </v>
      </c>
      <c r="AI318" s="501" t="str">
        <f>IF($C$178="MALVERN 20",'MALVERN 20'!$C$112," ")</f>
        <v xml:space="preserve"> </v>
      </c>
      <c r="AJ318" s="378" t="str">
        <f>IF($C$178="MALVERN 20",'MALVERN 20'!$D$112," ")</f>
        <v xml:space="preserve"> </v>
      </c>
      <c r="AK318" s="380"/>
      <c r="AL318" s="381"/>
      <c r="AM318" s="377" t="str">
        <f>IF($C$178="MALVERN 20",'MALVERN 20'!$C$146," ")</f>
        <v xml:space="preserve"> </v>
      </c>
      <c r="AN318" s="378" t="str">
        <f>IF($C$178="MALVERN 20",'MALVERN 20'!$D$146," ")</f>
        <v xml:space="preserve"> </v>
      </c>
      <c r="AO318" s="380"/>
      <c r="AP318" s="381"/>
      <c r="AQ318" s="380"/>
      <c r="AR318" s="381"/>
    </row>
    <row r="319" spans="2:44" ht="18" customHeight="1">
      <c r="B319" s="586"/>
      <c r="C319" s="587"/>
      <c r="D319" s="365">
        <f t="shared" si="23"/>
        <v>0</v>
      </c>
      <c r="E319" s="446"/>
      <c r="F319" s="363">
        <f t="shared" si="24"/>
        <v>0</v>
      </c>
      <c r="Q319" s="377" t="str">
        <f>IF($C$178="MALVERN 20",'MALVERN 20'!$C$16," ")</f>
        <v xml:space="preserve"> </v>
      </c>
      <c r="R319" s="378" t="str">
        <f>IF($C$178="MALVERN 20",'MALVERN 20'!$D$16," ")</f>
        <v xml:space="preserve"> </v>
      </c>
      <c r="S319" s="382"/>
      <c r="T319" s="382"/>
      <c r="U319" s="382"/>
      <c r="V319" s="382"/>
      <c r="W319" s="382"/>
      <c r="X319" s="382"/>
      <c r="Y319" s="382"/>
      <c r="Z319" s="382"/>
      <c r="AA319" s="382"/>
      <c r="AB319" s="382"/>
      <c r="AC319" s="382"/>
      <c r="AD319" s="382"/>
      <c r="AE319" s="382"/>
      <c r="AF319" s="382"/>
      <c r="AG319" s="501" t="str">
        <f>IF($C$178="MALVERN 20",'MALVERN 20'!$C$93," ")</f>
        <v xml:space="preserve"> </v>
      </c>
      <c r="AH319" s="378" t="str">
        <f>IF($C$178="MALVERN 20",'MALVERN 20'!$D$93," ")</f>
        <v xml:space="preserve"> </v>
      </c>
      <c r="AI319" s="501" t="str">
        <f>IF($C$178="MALVERN 20",'MALVERN 20'!$C$113," ")</f>
        <v xml:space="preserve"> </v>
      </c>
      <c r="AJ319" s="378" t="str">
        <f>IF($C$178="MALVERN 20",'MALVERN 20'!$D$113," ")</f>
        <v xml:space="preserve"> </v>
      </c>
      <c r="AK319" s="380"/>
      <c r="AL319" s="381"/>
      <c r="AM319" s="380"/>
      <c r="AN319" s="381"/>
      <c r="AO319" s="380"/>
      <c r="AP319" s="381"/>
      <c r="AQ319" s="380"/>
      <c r="AR319" s="381"/>
    </row>
    <row r="320" spans="2:44" ht="18" customHeight="1">
      <c r="B320" s="586"/>
      <c r="C320" s="587"/>
      <c r="D320" s="365">
        <f t="shared" si="23"/>
        <v>0</v>
      </c>
      <c r="E320" s="445"/>
      <c r="F320" s="363">
        <f t="shared" si="24"/>
        <v>0</v>
      </c>
      <c r="Q320" s="382"/>
      <c r="R320" s="483"/>
      <c r="S320" s="382"/>
      <c r="T320" s="382"/>
      <c r="U320" s="382"/>
      <c r="V320" s="382"/>
      <c r="W320" s="382"/>
      <c r="X320" s="382"/>
      <c r="Y320" s="382"/>
      <c r="Z320" s="382"/>
      <c r="AA320" s="382"/>
      <c r="AB320" s="382"/>
      <c r="AC320" s="382"/>
      <c r="AD320" s="382"/>
      <c r="AE320" s="382"/>
      <c r="AF320" s="382"/>
      <c r="AG320" s="501" t="str">
        <f>IF($C$178="MALVERN 20",'MALVERN 20'!$C$94," ")</f>
        <v xml:space="preserve"> </v>
      </c>
      <c r="AH320" s="378" t="str">
        <f>IF($C$178="MALVERN 20",'MALVERN 20'!$D$94," ")</f>
        <v xml:space="preserve"> </v>
      </c>
      <c r="AI320" s="501" t="str">
        <f>IF($C$178="MALVERN 20",'MALVERN 20'!$C$114," ")</f>
        <v xml:space="preserve"> </v>
      </c>
      <c r="AJ320" s="378" t="str">
        <f>IF($C$178="MALVERN 20",'MALVERN 20'!$D$114," ")</f>
        <v xml:space="preserve"> </v>
      </c>
      <c r="AK320" s="380"/>
      <c r="AL320" s="381"/>
      <c r="AM320" s="380"/>
      <c r="AN320" s="381"/>
      <c r="AO320" s="380"/>
      <c r="AP320" s="381"/>
      <c r="AQ320" s="380"/>
      <c r="AR320" s="381"/>
    </row>
    <row r="321" spans="2:44" ht="18" customHeight="1">
      <c r="B321" s="586"/>
      <c r="C321" s="587"/>
      <c r="D321" s="365">
        <f t="shared" si="23"/>
        <v>0</v>
      </c>
      <c r="E321" s="447"/>
      <c r="F321" s="363">
        <f t="shared" si="24"/>
        <v>0</v>
      </c>
      <c r="Q321" s="382"/>
      <c r="R321" s="483"/>
      <c r="S321" s="382"/>
      <c r="T321" s="382"/>
      <c r="U321" s="382"/>
      <c r="V321" s="382"/>
      <c r="W321" s="382"/>
      <c r="X321" s="382"/>
      <c r="Y321" s="382"/>
      <c r="Z321" s="382"/>
      <c r="AA321" s="382"/>
      <c r="AB321" s="382"/>
      <c r="AC321" s="382"/>
      <c r="AD321" s="382"/>
      <c r="AE321" s="382"/>
      <c r="AF321" s="382"/>
      <c r="AG321" s="501"/>
      <c r="AH321" s="378"/>
      <c r="AI321" s="501"/>
      <c r="AJ321" s="378"/>
      <c r="AK321" s="380"/>
      <c r="AL321" s="381"/>
      <c r="AM321" s="380"/>
      <c r="AN321" s="381"/>
      <c r="AO321" s="380"/>
      <c r="AP321" s="381"/>
      <c r="AQ321" s="380"/>
      <c r="AR321" s="381"/>
    </row>
    <row r="322" spans="2:44" ht="18" customHeight="1">
      <c r="B322" s="586"/>
      <c r="C322" s="587"/>
      <c r="D322" s="365">
        <f t="shared" si="23"/>
        <v>0</v>
      </c>
      <c r="E322" s="447"/>
      <c r="F322" s="363">
        <f t="shared" si="24"/>
        <v>0</v>
      </c>
      <c r="Q322" s="382"/>
      <c r="R322" s="483"/>
      <c r="S322" s="382"/>
      <c r="T322" s="382"/>
      <c r="U322" s="382"/>
      <c r="V322" s="382"/>
      <c r="W322" s="382"/>
      <c r="X322" s="382"/>
      <c r="Y322" s="382"/>
      <c r="Z322" s="382"/>
      <c r="AA322" s="382"/>
      <c r="AB322" s="382"/>
      <c r="AC322" s="382"/>
      <c r="AD322" s="382"/>
      <c r="AE322" s="382"/>
      <c r="AF322" s="382"/>
      <c r="AG322" s="501"/>
      <c r="AH322" s="378"/>
      <c r="AI322" s="501"/>
      <c r="AJ322" s="378"/>
      <c r="AK322" s="380"/>
      <c r="AL322" s="381"/>
      <c r="AM322" s="380"/>
      <c r="AN322" s="381"/>
      <c r="AO322" s="380"/>
      <c r="AP322" s="381"/>
      <c r="AQ322" s="380"/>
      <c r="AR322" s="381"/>
    </row>
    <row r="323" spans="2:44" ht="18" customHeight="1">
      <c r="B323" s="586"/>
      <c r="C323" s="587"/>
      <c r="D323" s="365">
        <f t="shared" si="23"/>
        <v>0</v>
      </c>
      <c r="E323" s="447"/>
      <c r="F323" s="363">
        <f t="shared" si="24"/>
        <v>0</v>
      </c>
      <c r="Q323" s="382"/>
      <c r="R323" s="483"/>
      <c r="S323" s="382"/>
      <c r="T323" s="382"/>
      <c r="U323" s="382"/>
      <c r="V323" s="382"/>
      <c r="W323" s="382"/>
      <c r="X323" s="382"/>
      <c r="Y323" s="382"/>
      <c r="Z323" s="382"/>
      <c r="AA323" s="382"/>
      <c r="AB323" s="382"/>
      <c r="AC323" s="382"/>
      <c r="AD323" s="382"/>
      <c r="AE323" s="382"/>
      <c r="AF323" s="382"/>
      <c r="AG323" s="501"/>
      <c r="AH323" s="378"/>
      <c r="AI323" s="501"/>
      <c r="AJ323" s="378"/>
      <c r="AK323" s="380"/>
      <c r="AL323" s="381"/>
      <c r="AM323" s="380"/>
      <c r="AN323" s="381"/>
      <c r="AO323" s="380"/>
      <c r="AP323" s="381"/>
      <c r="AQ323" s="380"/>
      <c r="AR323" s="381"/>
    </row>
    <row r="324" spans="2:44" ht="18" customHeight="1">
      <c r="B324" s="586"/>
      <c r="C324" s="587"/>
      <c r="D324" s="365">
        <f t="shared" si="23"/>
        <v>0</v>
      </c>
      <c r="E324" s="447"/>
      <c r="F324" s="363">
        <f t="shared" si="24"/>
        <v>0</v>
      </c>
      <c r="Q324" s="382"/>
      <c r="R324" s="483"/>
      <c r="S324" s="382"/>
      <c r="T324" s="382"/>
      <c r="U324" s="382"/>
      <c r="V324" s="382"/>
      <c r="W324" s="382"/>
      <c r="X324" s="382"/>
      <c r="Y324" s="382"/>
      <c r="Z324" s="382"/>
      <c r="AA324" s="382"/>
      <c r="AB324" s="382"/>
      <c r="AC324" s="382"/>
      <c r="AD324" s="382"/>
      <c r="AE324" s="382"/>
      <c r="AF324" s="382"/>
      <c r="AG324" s="501"/>
      <c r="AH324" s="378"/>
      <c r="AI324" s="501"/>
      <c r="AJ324" s="378"/>
      <c r="AK324" s="380"/>
      <c r="AL324" s="381"/>
      <c r="AM324" s="380"/>
      <c r="AN324" s="381"/>
      <c r="AO324" s="380"/>
      <c r="AP324" s="381"/>
      <c r="AQ324" s="380"/>
      <c r="AR324" s="381"/>
    </row>
    <row r="325" spans="2:44" ht="18" customHeight="1">
      <c r="B325" s="586"/>
      <c r="C325" s="587"/>
      <c r="D325" s="365">
        <f t="shared" si="23"/>
        <v>0</v>
      </c>
      <c r="E325" s="447"/>
      <c r="F325" s="363">
        <f t="shared" si="24"/>
        <v>0</v>
      </c>
      <c r="Q325" s="382"/>
      <c r="R325" s="483"/>
      <c r="S325" s="382"/>
      <c r="T325" s="382"/>
      <c r="U325" s="382"/>
      <c r="V325" s="382"/>
      <c r="W325" s="382"/>
      <c r="X325" s="382"/>
      <c r="Y325" s="382"/>
      <c r="Z325" s="382"/>
      <c r="AA325" s="382"/>
      <c r="AB325" s="382"/>
      <c r="AC325" s="382"/>
      <c r="AD325" s="382"/>
      <c r="AE325" s="382"/>
      <c r="AF325" s="382"/>
      <c r="AG325" s="501"/>
      <c r="AH325" s="378"/>
      <c r="AI325" s="501"/>
      <c r="AJ325" s="378"/>
      <c r="AK325" s="380"/>
      <c r="AL325" s="381"/>
      <c r="AM325" s="380"/>
      <c r="AN325" s="381"/>
      <c r="AO325" s="380"/>
      <c r="AP325" s="381"/>
      <c r="AQ325" s="380"/>
      <c r="AR325" s="381"/>
    </row>
    <row r="326" spans="2:44" ht="18" customHeight="1">
      <c r="B326" s="586"/>
      <c r="C326" s="587"/>
      <c r="D326" s="365">
        <f t="shared" si="23"/>
        <v>0</v>
      </c>
      <c r="E326" s="447"/>
      <c r="F326" s="363">
        <f t="shared" si="24"/>
        <v>0</v>
      </c>
      <c r="Q326" s="382"/>
      <c r="R326" s="483"/>
      <c r="S326" s="382"/>
      <c r="T326" s="382"/>
      <c r="U326" s="382"/>
      <c r="V326" s="382"/>
      <c r="W326" s="382"/>
      <c r="X326" s="382"/>
      <c r="Y326" s="382"/>
      <c r="Z326" s="382"/>
      <c r="AA326" s="382"/>
      <c r="AB326" s="382"/>
      <c r="AC326" s="382"/>
      <c r="AD326" s="382"/>
      <c r="AE326" s="382"/>
      <c r="AF326" s="382"/>
      <c r="AG326" s="501"/>
      <c r="AH326" s="378"/>
      <c r="AI326" s="501"/>
      <c r="AJ326" s="378"/>
      <c r="AK326" s="380"/>
      <c r="AL326" s="381"/>
      <c r="AM326" s="380"/>
      <c r="AN326" s="381"/>
      <c r="AO326" s="380"/>
      <c r="AP326" s="381"/>
      <c r="AQ326" s="380"/>
      <c r="AR326" s="381"/>
    </row>
    <row r="327" spans="2:44" ht="18" customHeight="1">
      <c r="B327" s="586"/>
      <c r="C327" s="587"/>
      <c r="D327" s="365">
        <f t="shared" si="23"/>
        <v>0</v>
      </c>
      <c r="E327" s="447"/>
      <c r="F327" s="363">
        <f t="shared" si="24"/>
        <v>0</v>
      </c>
      <c r="Q327" s="382"/>
      <c r="R327" s="483"/>
      <c r="S327" s="382"/>
      <c r="T327" s="382"/>
      <c r="U327" s="382"/>
      <c r="V327" s="382"/>
      <c r="W327" s="382"/>
      <c r="X327" s="382"/>
      <c r="Y327" s="382"/>
      <c r="Z327" s="382"/>
      <c r="AA327" s="382"/>
      <c r="AB327" s="382"/>
      <c r="AC327" s="382"/>
      <c r="AD327" s="382"/>
      <c r="AE327" s="382"/>
      <c r="AF327" s="382"/>
      <c r="AG327" s="501"/>
      <c r="AH327" s="378"/>
      <c r="AI327" s="501"/>
      <c r="AJ327" s="378"/>
      <c r="AK327" s="380"/>
      <c r="AL327" s="381"/>
      <c r="AM327" s="380"/>
      <c r="AN327" s="381"/>
      <c r="AO327" s="380"/>
      <c r="AP327" s="381"/>
      <c r="AQ327" s="380"/>
      <c r="AR327" s="381"/>
    </row>
    <row r="328" spans="2:44" ht="18" customHeight="1">
      <c r="B328" s="586"/>
      <c r="C328" s="587"/>
      <c r="D328" s="365">
        <f t="shared" si="23"/>
        <v>0</v>
      </c>
      <c r="E328" s="447"/>
      <c r="F328" s="363">
        <f t="shared" si="24"/>
        <v>0</v>
      </c>
      <c r="Q328" s="382"/>
      <c r="R328" s="483"/>
      <c r="S328" s="382"/>
      <c r="T328" s="382"/>
      <c r="U328" s="382"/>
      <c r="V328" s="382"/>
      <c r="W328" s="382"/>
      <c r="X328" s="382"/>
      <c r="Y328" s="382"/>
      <c r="Z328" s="382"/>
      <c r="AA328" s="382"/>
      <c r="AB328" s="382"/>
      <c r="AC328" s="382"/>
      <c r="AD328" s="382"/>
      <c r="AE328" s="382"/>
      <c r="AF328" s="382"/>
      <c r="AG328" s="501"/>
      <c r="AH328" s="378"/>
      <c r="AI328" s="501"/>
      <c r="AJ328" s="378"/>
      <c r="AK328" s="380"/>
      <c r="AL328" s="381"/>
      <c r="AM328" s="380"/>
      <c r="AN328" s="381"/>
      <c r="AO328" s="380"/>
      <c r="AP328" s="381"/>
      <c r="AQ328" s="380"/>
      <c r="AR328" s="381"/>
    </row>
    <row r="329" spans="2:44" ht="18" customHeight="1">
      <c r="B329" s="586"/>
      <c r="C329" s="587"/>
      <c r="D329" s="365">
        <f t="shared" si="23"/>
        <v>0</v>
      </c>
      <c r="E329" s="447"/>
      <c r="F329" s="363">
        <f t="shared" si="24"/>
        <v>0</v>
      </c>
      <c r="Q329" s="382"/>
      <c r="R329" s="483"/>
      <c r="S329" s="382"/>
      <c r="T329" s="382"/>
      <c r="U329" s="382"/>
      <c r="V329" s="382"/>
      <c r="W329" s="382"/>
      <c r="X329" s="382"/>
      <c r="Y329" s="382"/>
      <c r="Z329" s="382"/>
      <c r="AA329" s="382"/>
      <c r="AB329" s="382"/>
      <c r="AC329" s="382"/>
      <c r="AD329" s="382"/>
      <c r="AE329" s="382"/>
      <c r="AF329" s="382"/>
      <c r="AG329" s="501"/>
      <c r="AH329" s="378"/>
      <c r="AI329" s="501"/>
      <c r="AJ329" s="378"/>
      <c r="AK329" s="380"/>
      <c r="AL329" s="381"/>
      <c r="AM329" s="380"/>
      <c r="AN329" s="381"/>
      <c r="AO329" s="380"/>
      <c r="AP329" s="381"/>
      <c r="AQ329" s="380"/>
      <c r="AR329" s="381"/>
    </row>
    <row r="330" spans="2:44" ht="18" customHeight="1">
      <c r="B330" s="586"/>
      <c r="C330" s="587"/>
      <c r="D330" s="365">
        <f t="shared" si="23"/>
        <v>0</v>
      </c>
      <c r="E330" s="447"/>
      <c r="F330" s="363">
        <f t="shared" si="24"/>
        <v>0</v>
      </c>
      <c r="Q330" s="382"/>
      <c r="R330" s="483"/>
      <c r="S330" s="382"/>
      <c r="T330" s="382"/>
      <c r="U330" s="382"/>
      <c r="V330" s="382"/>
      <c r="W330" s="382"/>
      <c r="X330" s="382"/>
      <c r="Y330" s="382"/>
      <c r="Z330" s="382"/>
      <c r="AA330" s="382"/>
      <c r="AB330" s="382"/>
      <c r="AC330" s="382"/>
      <c r="AD330" s="382"/>
      <c r="AE330" s="382"/>
      <c r="AF330" s="382"/>
      <c r="AG330" s="501"/>
      <c r="AH330" s="378"/>
      <c r="AI330" s="501"/>
      <c r="AJ330" s="378"/>
      <c r="AK330" s="380"/>
      <c r="AL330" s="381"/>
      <c r="AM330" s="380"/>
      <c r="AN330" s="381"/>
      <c r="AO330" s="380"/>
      <c r="AP330" s="381"/>
      <c r="AQ330" s="380"/>
      <c r="AR330" s="381"/>
    </row>
    <row r="331" spans="2:44" ht="18" customHeight="1">
      <c r="B331" s="586"/>
      <c r="C331" s="587"/>
      <c r="D331" s="365">
        <f t="shared" si="23"/>
        <v>0</v>
      </c>
      <c r="E331" s="447"/>
      <c r="F331" s="363">
        <f t="shared" si="24"/>
        <v>0</v>
      </c>
      <c r="Q331" s="382"/>
      <c r="R331" s="483"/>
      <c r="S331" s="382"/>
      <c r="T331" s="382"/>
      <c r="U331" s="382"/>
      <c r="V331" s="382"/>
      <c r="W331" s="382"/>
      <c r="X331" s="382"/>
      <c r="Y331" s="382"/>
      <c r="Z331" s="382"/>
      <c r="AA331" s="382"/>
      <c r="AB331" s="382"/>
      <c r="AC331" s="382"/>
      <c r="AD331" s="382"/>
      <c r="AE331" s="382"/>
      <c r="AF331" s="382"/>
      <c r="AG331" s="501"/>
      <c r="AH331" s="378"/>
      <c r="AI331" s="501"/>
      <c r="AJ331" s="378"/>
      <c r="AK331" s="380"/>
      <c r="AL331" s="381"/>
      <c r="AM331" s="380"/>
      <c r="AN331" s="381"/>
      <c r="AO331" s="380"/>
      <c r="AP331" s="381"/>
      <c r="AQ331" s="380"/>
      <c r="AR331" s="381"/>
    </row>
    <row r="332" spans="2:44" ht="18" customHeight="1">
      <c r="B332" s="586"/>
      <c r="C332" s="587"/>
      <c r="D332" s="365">
        <f t="shared" si="23"/>
        <v>0</v>
      </c>
      <c r="E332" s="447"/>
      <c r="F332" s="363">
        <f t="shared" si="24"/>
        <v>0</v>
      </c>
      <c r="Q332" s="382"/>
      <c r="R332" s="483"/>
      <c r="S332" s="382"/>
      <c r="T332" s="382"/>
      <c r="U332" s="382"/>
      <c r="V332" s="382"/>
      <c r="W332" s="382"/>
      <c r="X332" s="382"/>
      <c r="Y332" s="382"/>
      <c r="Z332" s="382"/>
      <c r="AA332" s="382"/>
      <c r="AB332" s="382"/>
      <c r="AC332" s="382"/>
      <c r="AD332" s="382"/>
      <c r="AE332" s="382"/>
      <c r="AF332" s="382"/>
      <c r="AG332" s="501"/>
      <c r="AH332" s="378"/>
      <c r="AI332" s="501"/>
      <c r="AJ332" s="378"/>
      <c r="AK332" s="380"/>
      <c r="AL332" s="381"/>
      <c r="AM332" s="380"/>
      <c r="AN332" s="381"/>
      <c r="AO332" s="380"/>
      <c r="AP332" s="381"/>
      <c r="AQ332" s="380"/>
      <c r="AR332" s="381"/>
    </row>
    <row r="333" spans="2:44" ht="18" customHeight="1">
      <c r="B333" s="586"/>
      <c r="C333" s="587"/>
      <c r="D333" s="365">
        <f t="shared" si="23"/>
        <v>0</v>
      </c>
      <c r="E333" s="447"/>
      <c r="F333" s="363">
        <f t="shared" si="24"/>
        <v>0</v>
      </c>
      <c r="Q333" s="382"/>
      <c r="R333" s="483"/>
      <c r="S333" s="382"/>
      <c r="T333" s="382"/>
      <c r="U333" s="382"/>
      <c r="V333" s="382"/>
      <c r="W333" s="382"/>
      <c r="X333" s="382"/>
      <c r="Y333" s="382"/>
      <c r="Z333" s="382"/>
      <c r="AA333" s="382"/>
      <c r="AB333" s="382"/>
      <c r="AC333" s="382"/>
      <c r="AD333" s="382"/>
      <c r="AE333" s="382"/>
      <c r="AF333" s="382"/>
      <c r="AG333" s="501"/>
      <c r="AH333" s="378"/>
      <c r="AI333" s="501"/>
      <c r="AJ333" s="378"/>
      <c r="AK333" s="380"/>
      <c r="AL333" s="381"/>
      <c r="AM333" s="380"/>
      <c r="AN333" s="381"/>
      <c r="AO333" s="380"/>
      <c r="AP333" s="381"/>
      <c r="AQ333" s="380"/>
      <c r="AR333" s="381"/>
    </row>
    <row r="334" spans="2:44" ht="18" customHeight="1">
      <c r="B334" s="588" t="s">
        <v>358</v>
      </c>
      <c r="C334" s="589"/>
      <c r="D334" s="589"/>
      <c r="E334" s="589"/>
      <c r="F334" s="590"/>
      <c r="Q334" s="382"/>
      <c r="R334" s="504"/>
      <c r="S334" s="382"/>
      <c r="T334" s="382"/>
      <c r="U334" s="382"/>
      <c r="V334" s="382"/>
      <c r="W334" s="382"/>
      <c r="X334" s="382"/>
      <c r="Y334" s="382"/>
      <c r="Z334" s="382"/>
      <c r="AA334" s="382"/>
      <c r="AB334" s="382"/>
      <c r="AC334" s="382"/>
      <c r="AD334" s="382"/>
      <c r="AE334" s="382"/>
      <c r="AF334" s="382"/>
      <c r="AG334" s="501" t="str">
        <f>IF($C$178="MALVERN 20",'MALVERN 20'!$C$95," ")</f>
        <v xml:space="preserve"> </v>
      </c>
      <c r="AH334" s="378" t="str">
        <f>IF($C$178="MALVERN 20",'MALVERN 20'!$D$95," ")</f>
        <v xml:space="preserve"> </v>
      </c>
      <c r="AI334" s="501" t="str">
        <f>IF($C$178="MALVERN 20",'MALVERN 20'!$C$115," ")</f>
        <v xml:space="preserve"> </v>
      </c>
      <c r="AJ334" s="378" t="str">
        <f>IF($C$178="MALVERN 20",'MALVERN 20'!$D$115," ")</f>
        <v xml:space="preserve"> </v>
      </c>
      <c r="AK334" s="380"/>
      <c r="AL334" s="381"/>
      <c r="AM334" s="380"/>
      <c r="AN334" s="381"/>
      <c r="AO334" s="380"/>
      <c r="AP334" s="381"/>
      <c r="AQ334" s="380"/>
      <c r="AR334" s="381"/>
    </row>
    <row r="335" spans="2:44" ht="18" customHeight="1">
      <c r="B335" s="586"/>
      <c r="C335" s="587"/>
      <c r="D335" s="365">
        <f t="shared" ref="D335:D346" si="25">_xlfn.XLOOKUP($B335,$AM$173:$AM$393,$AN$173:$AN$393)</f>
        <v>0</v>
      </c>
      <c r="E335" s="445"/>
      <c r="F335" s="363">
        <f t="shared" ref="F335:F346" si="26">SUM(E335-D335)</f>
        <v>0</v>
      </c>
      <c r="Q335" s="382"/>
      <c r="R335" s="483"/>
      <c r="S335" s="382"/>
      <c r="T335" s="382"/>
      <c r="U335" s="382"/>
      <c r="V335" s="382"/>
      <c r="W335" s="382"/>
      <c r="X335" s="382"/>
      <c r="Y335" s="382"/>
      <c r="Z335" s="382"/>
      <c r="AA335" s="382"/>
      <c r="AB335" s="382"/>
      <c r="AC335" s="382"/>
      <c r="AD335" s="382"/>
      <c r="AE335" s="382"/>
      <c r="AF335" s="382"/>
      <c r="AG335" s="501" t="str">
        <f>IF($C$178="MALVERN 20",'MALVERN 20'!$C$96," ")</f>
        <v xml:space="preserve"> </v>
      </c>
      <c r="AH335" s="378" t="str">
        <f>IF($C$178="MALVERN 20",'MALVERN 20'!$D$96," ")</f>
        <v xml:space="preserve"> </v>
      </c>
      <c r="AI335" s="501" t="str">
        <f>IF($C$178="MALVERN 20",'MALVERN 20'!$C$116," ")</f>
        <v xml:space="preserve"> </v>
      </c>
      <c r="AJ335" s="378" t="str">
        <f>IF($C$178="MALVERN 20",'MALVERN 20'!$D$116," ")</f>
        <v xml:space="preserve"> </v>
      </c>
      <c r="AK335" s="380"/>
      <c r="AL335" s="381"/>
      <c r="AM335" s="380"/>
      <c r="AN335" s="381"/>
      <c r="AO335" s="380"/>
      <c r="AP335" s="381"/>
      <c r="AQ335" s="380"/>
      <c r="AR335" s="381"/>
    </row>
    <row r="336" spans="2:44" ht="18" customHeight="1">
      <c r="B336" s="586"/>
      <c r="C336" s="587"/>
      <c r="D336" s="365">
        <f t="shared" si="25"/>
        <v>0</v>
      </c>
      <c r="E336" s="445"/>
      <c r="F336" s="363">
        <f t="shared" si="26"/>
        <v>0</v>
      </c>
      <c r="Q336" s="382"/>
      <c r="R336" s="483"/>
      <c r="S336" s="382"/>
      <c r="T336" s="382"/>
      <c r="U336" s="382"/>
      <c r="V336" s="382"/>
      <c r="W336" s="382"/>
      <c r="X336" s="382"/>
      <c r="Y336" s="382"/>
      <c r="Z336" s="382"/>
      <c r="AA336" s="382"/>
      <c r="AB336" s="382"/>
      <c r="AC336" s="382"/>
      <c r="AD336" s="382"/>
      <c r="AE336" s="382"/>
      <c r="AF336" s="382"/>
      <c r="AG336" s="501" t="str">
        <f>IF($C$178="MALVERN 20",'MALVERN 20'!$C$97," ")</f>
        <v xml:space="preserve"> </v>
      </c>
      <c r="AH336" s="378" t="str">
        <f>IF($C$178="MALVERN 20",'MALVERN 20'!$D$97," ")</f>
        <v xml:space="preserve"> </v>
      </c>
      <c r="AI336" s="501" t="str">
        <f>IF($C$178="MALVERN 20",'MALVERN 20'!$C$117," ")</f>
        <v xml:space="preserve"> </v>
      </c>
      <c r="AJ336" s="378" t="str">
        <f>IF($C$178="MALVERN 20",'MALVERN 20'!$D$117," ")</f>
        <v xml:space="preserve"> </v>
      </c>
      <c r="AK336" s="380"/>
      <c r="AL336" s="381"/>
      <c r="AM336" s="380"/>
      <c r="AN336" s="381"/>
      <c r="AO336" s="380"/>
      <c r="AP336" s="381"/>
      <c r="AQ336" s="380"/>
      <c r="AR336" s="381"/>
    </row>
    <row r="337" spans="2:44" ht="18" customHeight="1">
      <c r="B337" s="586"/>
      <c r="C337" s="587"/>
      <c r="D337" s="365">
        <f t="shared" si="25"/>
        <v>0</v>
      </c>
      <c r="E337" s="445"/>
      <c r="F337" s="363">
        <f t="shared" si="26"/>
        <v>0</v>
      </c>
      <c r="Q337" s="382"/>
      <c r="R337" s="483"/>
      <c r="S337" s="382"/>
      <c r="T337" s="382"/>
      <c r="U337" s="382"/>
      <c r="V337" s="382"/>
      <c r="W337" s="382"/>
      <c r="X337" s="382"/>
      <c r="Y337" s="382"/>
      <c r="Z337" s="382"/>
      <c r="AA337" s="382"/>
      <c r="AB337" s="382"/>
      <c r="AC337" s="382"/>
      <c r="AD337" s="382"/>
      <c r="AE337" s="382"/>
      <c r="AF337" s="382"/>
      <c r="AG337" s="501" t="str">
        <f>IF($C$178="MALVERN 20",'MALVERN 20'!$C$98," ")</f>
        <v xml:space="preserve"> </v>
      </c>
      <c r="AH337" s="378" t="str">
        <f>IF($C$178="MALVERN 20",'MALVERN 20'!$D$98," ")</f>
        <v xml:space="preserve"> </v>
      </c>
      <c r="AI337" s="501" t="str">
        <f>IF($C$178="MALVERN 20",'MALVERN 20'!$C$118," ")</f>
        <v xml:space="preserve"> </v>
      </c>
      <c r="AJ337" s="378" t="str">
        <f>IF($C$178="MALVERN 20",'MALVERN 20'!$D$118," ")</f>
        <v xml:space="preserve"> </v>
      </c>
      <c r="AK337" s="380"/>
      <c r="AL337" s="381"/>
      <c r="AM337" s="380"/>
      <c r="AN337" s="381"/>
      <c r="AO337" s="380"/>
      <c r="AP337" s="381"/>
      <c r="AQ337" s="380"/>
      <c r="AR337" s="381"/>
    </row>
    <row r="338" spans="2:44" ht="18" customHeight="1">
      <c r="B338" s="586"/>
      <c r="C338" s="587"/>
      <c r="D338" s="365">
        <f t="shared" si="25"/>
        <v>0</v>
      </c>
      <c r="E338" s="445"/>
      <c r="F338" s="363">
        <f t="shared" si="26"/>
        <v>0</v>
      </c>
      <c r="Q338" s="382"/>
      <c r="R338" s="483"/>
      <c r="S338" s="382"/>
      <c r="T338" s="382"/>
      <c r="U338" s="382"/>
      <c r="V338" s="382"/>
      <c r="W338" s="382"/>
      <c r="X338" s="382"/>
      <c r="Y338" s="382"/>
      <c r="Z338" s="382"/>
      <c r="AA338" s="382"/>
      <c r="AB338" s="382"/>
      <c r="AC338" s="382"/>
      <c r="AD338" s="382"/>
      <c r="AE338" s="382"/>
      <c r="AF338" s="382"/>
      <c r="AH338" s="382"/>
      <c r="AI338" s="501" t="str">
        <f>IF($C$178="MALVERN 20",'MALVERN 20'!$C$119," ")</f>
        <v xml:space="preserve"> </v>
      </c>
      <c r="AJ338" s="378" t="str">
        <f>IF($C$178="MALVERN 20",'MALVERN 20'!$D$119," ")</f>
        <v xml:space="preserve"> </v>
      </c>
      <c r="AK338" s="380"/>
      <c r="AL338" s="381"/>
      <c r="AM338" s="380"/>
      <c r="AN338" s="381"/>
      <c r="AO338" s="380"/>
      <c r="AP338" s="381"/>
      <c r="AQ338" s="380"/>
      <c r="AR338" s="381"/>
    </row>
    <row r="339" spans="2:44" ht="18" customHeight="1">
      <c r="B339" s="586"/>
      <c r="C339" s="587"/>
      <c r="D339" s="365">
        <f t="shared" si="25"/>
        <v>0</v>
      </c>
      <c r="E339" s="445"/>
      <c r="F339" s="363">
        <f t="shared" si="26"/>
        <v>0</v>
      </c>
      <c r="Q339" s="382"/>
      <c r="R339" s="483"/>
      <c r="S339" s="382"/>
      <c r="T339" s="382"/>
      <c r="U339" s="382"/>
      <c r="V339" s="382"/>
      <c r="W339" s="382"/>
      <c r="X339" s="382"/>
      <c r="Y339" s="382"/>
      <c r="Z339" s="382"/>
      <c r="AA339" s="382"/>
      <c r="AB339" s="382"/>
      <c r="AC339" s="382"/>
      <c r="AD339" s="382"/>
      <c r="AE339" s="382"/>
      <c r="AF339" s="382"/>
      <c r="AG339" s="398"/>
      <c r="AH339" s="382"/>
      <c r="AI339" s="501" t="str">
        <f>IF($C$178="MALVERN 20",'MALVERN 20'!$C$120," ")</f>
        <v xml:space="preserve"> </v>
      </c>
      <c r="AJ339" s="378" t="str">
        <f>IF($C$178="MALVERN 20",'MALVERN 20'!$D$120," ")</f>
        <v xml:space="preserve"> </v>
      </c>
      <c r="AK339" s="380"/>
      <c r="AL339" s="381"/>
      <c r="AM339" s="380"/>
      <c r="AN339" s="381"/>
      <c r="AO339" s="380"/>
      <c r="AP339" s="381"/>
      <c r="AQ339" s="380"/>
      <c r="AR339" s="381"/>
    </row>
    <row r="340" spans="2:44" ht="18" customHeight="1">
      <c r="B340" s="586"/>
      <c r="C340" s="587"/>
      <c r="D340" s="365">
        <f t="shared" si="25"/>
        <v>0</v>
      </c>
      <c r="E340" s="445"/>
      <c r="F340" s="363">
        <f t="shared" si="26"/>
        <v>0</v>
      </c>
      <c r="Q340" s="382"/>
      <c r="R340" s="483"/>
      <c r="S340" s="382"/>
      <c r="T340" s="382"/>
      <c r="U340" s="382"/>
      <c r="V340" s="382"/>
      <c r="W340" s="382"/>
      <c r="X340" s="382"/>
      <c r="Y340" s="382"/>
      <c r="Z340" s="382"/>
      <c r="AA340" s="382"/>
      <c r="AB340" s="382"/>
      <c r="AC340" s="382"/>
      <c r="AD340" s="382"/>
      <c r="AE340" s="382"/>
      <c r="AF340" s="382"/>
      <c r="AG340" s="398"/>
      <c r="AH340" s="382"/>
      <c r="AI340" s="501" t="str">
        <f>IF($C$178="MALVERN 20",'MALVERN 20'!$C$121," ")</f>
        <v xml:space="preserve"> </v>
      </c>
      <c r="AJ340" s="378" t="str">
        <f>IF($C$178="MALVERN 20",'MALVERN 20'!$D$121," ")</f>
        <v xml:space="preserve"> </v>
      </c>
      <c r="AK340" s="380"/>
      <c r="AL340" s="381"/>
      <c r="AM340" s="380"/>
      <c r="AN340" s="381"/>
      <c r="AO340" s="380"/>
      <c r="AP340" s="381"/>
      <c r="AQ340" s="380"/>
      <c r="AR340" s="381"/>
    </row>
    <row r="341" spans="2:44" ht="18" customHeight="1">
      <c r="B341" s="586"/>
      <c r="C341" s="587"/>
      <c r="D341" s="365">
        <f t="shared" si="25"/>
        <v>0</v>
      </c>
      <c r="E341" s="445"/>
      <c r="F341" s="363">
        <f t="shared" si="26"/>
        <v>0</v>
      </c>
      <c r="Q341" s="382"/>
      <c r="R341" s="483"/>
      <c r="S341" s="382"/>
      <c r="T341" s="382"/>
      <c r="U341" s="382"/>
      <c r="V341" s="382"/>
      <c r="W341" s="382"/>
      <c r="X341" s="382"/>
      <c r="Y341" s="382"/>
      <c r="Z341" s="382"/>
      <c r="AA341" s="382"/>
      <c r="AB341" s="382"/>
      <c r="AC341" s="382"/>
      <c r="AD341" s="382"/>
      <c r="AE341" s="382"/>
      <c r="AF341" s="382"/>
      <c r="AG341" s="398"/>
      <c r="AH341" s="382"/>
      <c r="AI341" s="501" t="str">
        <f>IF($C$178="MALVERN 20",'MALVERN 20'!$C$122," ")</f>
        <v xml:space="preserve"> </v>
      </c>
      <c r="AJ341" s="378" t="str">
        <f>IF($C$178="MALVERN 20",'MALVERN 20'!$D$122," ")</f>
        <v xml:space="preserve"> </v>
      </c>
      <c r="AK341" s="380"/>
      <c r="AL341" s="381"/>
      <c r="AM341" s="380"/>
      <c r="AN341" s="381"/>
      <c r="AO341" s="380"/>
      <c r="AP341" s="381"/>
      <c r="AQ341" s="380"/>
      <c r="AR341" s="381"/>
    </row>
    <row r="342" spans="2:44" ht="18" customHeight="1">
      <c r="B342" s="586"/>
      <c r="C342" s="587"/>
      <c r="D342" s="365">
        <f t="shared" si="25"/>
        <v>0</v>
      </c>
      <c r="E342" s="445"/>
      <c r="F342" s="363">
        <f t="shared" si="26"/>
        <v>0</v>
      </c>
      <c r="Q342" s="382"/>
      <c r="R342" s="483"/>
      <c r="S342" s="382"/>
      <c r="T342" s="382"/>
      <c r="U342" s="382"/>
      <c r="V342" s="382"/>
      <c r="W342" s="382"/>
      <c r="X342" s="382"/>
      <c r="Y342" s="382"/>
      <c r="Z342" s="382"/>
      <c r="AA342" s="382"/>
      <c r="AB342" s="382"/>
      <c r="AC342" s="382"/>
      <c r="AD342" s="382"/>
      <c r="AE342" s="382"/>
      <c r="AF342" s="382"/>
      <c r="AG342" s="398"/>
      <c r="AH342" s="382"/>
      <c r="AI342" s="501" t="str">
        <f>IF($C$178="MALVERN 20",'MALVERN 20'!$C$123," ")</f>
        <v xml:space="preserve"> </v>
      </c>
      <c r="AJ342" s="378" t="str">
        <f>IF($C$178="MALVERN 20",'MALVERN 20'!$D$123," ")</f>
        <v xml:space="preserve"> </v>
      </c>
      <c r="AK342" s="380"/>
      <c r="AL342" s="381"/>
      <c r="AM342" s="380"/>
      <c r="AN342" s="381"/>
      <c r="AO342" s="380"/>
      <c r="AP342" s="381"/>
      <c r="AQ342" s="380"/>
      <c r="AR342" s="381"/>
    </row>
    <row r="343" spans="2:44" ht="18" customHeight="1">
      <c r="B343" s="586"/>
      <c r="C343" s="587"/>
      <c r="D343" s="365">
        <f t="shared" si="25"/>
        <v>0</v>
      </c>
      <c r="E343" s="445"/>
      <c r="F343" s="363">
        <f t="shared" si="26"/>
        <v>0</v>
      </c>
      <c r="Q343" s="382"/>
      <c r="R343" s="483"/>
      <c r="S343" s="382"/>
      <c r="T343" s="382"/>
      <c r="U343" s="382"/>
      <c r="V343" s="382"/>
      <c r="W343" s="382"/>
      <c r="X343" s="382"/>
      <c r="Y343" s="382"/>
      <c r="Z343" s="382"/>
      <c r="AA343" s="382"/>
      <c r="AB343" s="382"/>
      <c r="AC343" s="382"/>
      <c r="AD343" s="382"/>
      <c r="AE343" s="382"/>
      <c r="AF343" s="382"/>
      <c r="AG343" s="398"/>
      <c r="AH343" s="382"/>
      <c r="AI343" s="516"/>
      <c r="AJ343" s="381"/>
      <c r="AK343" s="382"/>
      <c r="AL343" s="382"/>
      <c r="AM343" s="382"/>
      <c r="AN343" s="382"/>
      <c r="AO343" s="382"/>
      <c r="AP343" s="382"/>
      <c r="AQ343" s="382"/>
      <c r="AR343" s="382"/>
    </row>
    <row r="344" spans="2:44" ht="18" customHeight="1">
      <c r="B344" s="586"/>
      <c r="C344" s="587"/>
      <c r="D344" s="365">
        <f t="shared" si="25"/>
        <v>0</v>
      </c>
      <c r="E344" s="445"/>
      <c r="F344" s="363">
        <f t="shared" si="26"/>
        <v>0</v>
      </c>
      <c r="Q344" s="382"/>
      <c r="R344" s="483"/>
      <c r="S344" s="382"/>
      <c r="T344" s="382"/>
      <c r="U344" s="382"/>
      <c r="V344" s="382"/>
      <c r="W344" s="382"/>
      <c r="X344" s="382"/>
      <c r="Y344" s="382"/>
      <c r="Z344" s="382"/>
      <c r="AA344" s="382"/>
      <c r="AB344" s="382"/>
      <c r="AC344" s="382"/>
      <c r="AD344" s="382"/>
      <c r="AE344" s="382"/>
      <c r="AF344" s="382"/>
      <c r="AG344" s="398"/>
      <c r="AH344" s="382"/>
      <c r="AI344" s="516"/>
      <c r="AJ344" s="381"/>
      <c r="AK344" s="382"/>
      <c r="AL344" s="382"/>
      <c r="AM344" s="382"/>
      <c r="AN344" s="382"/>
      <c r="AO344" s="382"/>
      <c r="AP344" s="382"/>
      <c r="AQ344" s="382"/>
      <c r="AR344" s="382"/>
    </row>
    <row r="345" spans="2:44" ht="18" customHeight="1">
      <c r="B345" s="586"/>
      <c r="C345" s="587"/>
      <c r="D345" s="365">
        <f t="shared" si="25"/>
        <v>0</v>
      </c>
      <c r="E345" s="445"/>
      <c r="F345" s="363">
        <f t="shared" si="26"/>
        <v>0</v>
      </c>
      <c r="Q345" s="374" t="str">
        <f>IF($C$178="MALVERN 23",'MALVERN 23'!$C$4," ")</f>
        <v xml:space="preserve"> </v>
      </c>
      <c r="R345" s="375" t="str">
        <f>IF($C$178="MALVERN 23",'MALVERN 23'!$D$4," ")</f>
        <v xml:space="preserve"> </v>
      </c>
      <c r="S345" s="374" t="str">
        <f>IF($C$178="MALVERN 23",'MALVERN 23'!$C$19," ")</f>
        <v xml:space="preserve"> </v>
      </c>
      <c r="T345" s="375" t="str">
        <f>IF($C$178="MALVERN 23",'MALVERN 23'!$D$19," ")</f>
        <v xml:space="preserve"> </v>
      </c>
      <c r="U345" s="374" t="str">
        <f>IF($C$178="MALVERN 23",'MALVERN 23'!$C$29," ")</f>
        <v xml:space="preserve"> </v>
      </c>
      <c r="V345" s="375" t="str">
        <f>IF($C$178="MALVERN 23",'MALVERN 23'!$D$29," ")</f>
        <v xml:space="preserve"> </v>
      </c>
      <c r="W345" s="374" t="str">
        <f>IF($C$178="MALVERN 23",'MALVERN 23'!$C$42," ")</f>
        <v xml:space="preserve"> </v>
      </c>
      <c r="X345" s="375" t="str">
        <f>IF($C$178="MALVERN 23",'MALVERN 23'!$D$42," ")</f>
        <v xml:space="preserve"> </v>
      </c>
      <c r="Y345" s="374" t="str">
        <f>IF($C$178="MALVERN 23",'MALVERN 23'!$C$52," ")</f>
        <v xml:space="preserve"> </v>
      </c>
      <c r="Z345" s="375" t="str">
        <f>IF($C$178="MALVERN 23",'MALVERN 23'!$D$52," ")</f>
        <v xml:space="preserve"> </v>
      </c>
      <c r="AA345" s="374" t="str">
        <f>IF($C$178="MALVERN 23",'MALVERN 23'!$C$60," ")</f>
        <v xml:space="preserve"> </v>
      </c>
      <c r="AB345" s="375" t="str">
        <f>IF($C$178="MALVERN 23",'MALVERN 23'!$D$60," ")</f>
        <v xml:space="preserve"> </v>
      </c>
      <c r="AC345" s="374" t="str">
        <f>IF($C$178="MALVERN 23",'MALVERN 23'!$C$66," ")</f>
        <v xml:space="preserve"> </v>
      </c>
      <c r="AD345" s="375" t="str">
        <f>IF($C$178="MALVERN 23",'MALVERN 23'!$D$66," ")</f>
        <v xml:space="preserve"> </v>
      </c>
      <c r="AE345" s="374" t="str">
        <f>IF($C$178="MALVERN 23",'MALVERN 23'!$C$75," ")</f>
        <v xml:space="preserve"> </v>
      </c>
      <c r="AF345" s="375" t="str">
        <f>IF($C$178="MALVERN 23",'MALVERN 23'!$D$75," ")</f>
        <v xml:space="preserve"> </v>
      </c>
      <c r="AG345" s="500" t="str">
        <f>IF($C$178="MALVERN 23",'MALVERN 23'!$C$81," ")</f>
        <v xml:space="preserve"> </v>
      </c>
      <c r="AH345" s="375" t="str">
        <f>IF($C$178="MALVERN 23",'MALVERN 23'!$D$81," ")</f>
        <v xml:space="preserve"> </v>
      </c>
      <c r="AI345" s="500" t="str">
        <f>IF($C$178="MALVERN 23",'MALVERN 23'!$C$101," ")</f>
        <v xml:space="preserve"> </v>
      </c>
      <c r="AJ345" s="375" t="str">
        <f>IF($C$178="MALVERN 23",'MALVERN 23'!$D$101," ")</f>
        <v xml:space="preserve"> </v>
      </c>
      <c r="AK345" s="374" t="str">
        <f>IF($C$178="MALVERN 23",'MALVERN 23'!$C$126," ")</f>
        <v xml:space="preserve"> </v>
      </c>
      <c r="AL345" s="375" t="str">
        <f>IF($C$178="MALVERN 23",'MALVERN 23'!$D$126," ")</f>
        <v xml:space="preserve"> </v>
      </c>
      <c r="AM345" s="374" t="str">
        <f>IF($C$178="MALVERN 23",'MALVERN 23'!$C$135," ")</f>
        <v xml:space="preserve"> </v>
      </c>
      <c r="AN345" s="375" t="str">
        <f>IF($C$178="MALVERN 23",'MALVERN 23'!$D$135," ")</f>
        <v xml:space="preserve"> </v>
      </c>
      <c r="AO345" s="374" t="str">
        <f>IF($C$178="MALVERN 23",'MALVERN 23'!$C$149," ")</f>
        <v xml:space="preserve"> </v>
      </c>
      <c r="AP345" s="375" t="str">
        <f>IF($C$178="MALVERN 23",'MALVERN 23'!$D$149," ")</f>
        <v xml:space="preserve"> </v>
      </c>
      <c r="AQ345" s="374" t="str">
        <f>IF($C$178="MALVERN 23",'MALVERN 23'!$C$156," ")</f>
        <v xml:space="preserve"> </v>
      </c>
      <c r="AR345" s="375" t="str">
        <f>IF($C$178="MALVERN 23",'MALVERN 23'!$D$156," ")</f>
        <v xml:space="preserve"> </v>
      </c>
    </row>
    <row r="346" spans="2:44" ht="18" customHeight="1">
      <c r="B346" s="586"/>
      <c r="C346" s="587"/>
      <c r="D346" s="365">
        <f t="shared" si="25"/>
        <v>0</v>
      </c>
      <c r="E346" s="445"/>
      <c r="F346" s="363">
        <f t="shared" si="26"/>
        <v>0</v>
      </c>
      <c r="Q346" s="377" t="str">
        <f>IF($C$178="MALVERN 23",'MALVERN 23'!$C$5," ")</f>
        <v xml:space="preserve"> </v>
      </c>
      <c r="R346" s="378" t="str">
        <f>IF($C$178="MALVERN 23",'MALVERN 23'!$D$5," ")</f>
        <v xml:space="preserve"> </v>
      </c>
      <c r="S346" s="377" t="str">
        <f>IF($C$178="MALVERN 23",'MALVERN 23'!$C$20," ")</f>
        <v xml:space="preserve"> </v>
      </c>
      <c r="T346" s="378" t="str">
        <f>IF($C$178="MALVERN 23",'MALVERN 23'!$D$20," ")</f>
        <v xml:space="preserve"> </v>
      </c>
      <c r="U346" s="377" t="str">
        <f>IF($C$178="MALVERN 23",'MALVERN 23'!$C$30," ")</f>
        <v xml:space="preserve"> </v>
      </c>
      <c r="V346" s="378" t="str">
        <f>IF($C$178="MALVERN 23",'MALVERN 23'!$D$30," ")</f>
        <v xml:space="preserve"> </v>
      </c>
      <c r="W346" s="377" t="str">
        <f>IF($C$178="MALVERN 23",'MALVERN 23'!$C$43," ")</f>
        <v xml:space="preserve"> </v>
      </c>
      <c r="X346" s="378" t="str">
        <f>IF($C$178="MALVERN 23",'MALVERN 23'!$D$43," ")</f>
        <v xml:space="preserve"> </v>
      </c>
      <c r="Y346" s="377" t="str">
        <f>IF($C$178="MALVERN 23",'MALVERN 23'!$C$53," ")</f>
        <v xml:space="preserve"> </v>
      </c>
      <c r="Z346" s="378" t="str">
        <f>IF($C$178="MALVERN 23",'MALVERN 23'!$D$53," ")</f>
        <v xml:space="preserve"> </v>
      </c>
      <c r="AA346" s="377" t="str">
        <f>IF($C$178="MALVERN 23",'MALVERN 23'!$C$61," ")</f>
        <v xml:space="preserve"> </v>
      </c>
      <c r="AB346" s="378" t="str">
        <f>IF($C$178="MALVERN 23",'MALVERN 23'!$D$61," ")</f>
        <v xml:space="preserve"> </v>
      </c>
      <c r="AC346" s="377" t="str">
        <f>IF($C$178="MALVERN 23",'MALVERN 23'!$C$67," ")</f>
        <v xml:space="preserve"> </v>
      </c>
      <c r="AD346" s="378" t="str">
        <f>IF($C$178="MALVERN 23",'MALVERN 23'!$D$67," ")</f>
        <v xml:space="preserve"> </v>
      </c>
      <c r="AE346" s="377" t="str">
        <f>IF($C$178="MALVERN 23",'MALVERN 23'!$C$76," ")</f>
        <v xml:space="preserve"> </v>
      </c>
      <c r="AF346" s="378" t="str">
        <f>IF($C$178="MALVERN 23",'MALVERN 23'!$D$76," ")</f>
        <v xml:space="preserve"> </v>
      </c>
      <c r="AG346" s="501" t="str">
        <f>IF($C$178="MALVERN 23",'MALVERN 23'!$C$82," ")</f>
        <v xml:space="preserve"> </v>
      </c>
      <c r="AH346" s="378" t="str">
        <f>IF($C$178="MALVERN 23",'MALVERN 23'!$D$82," ")</f>
        <v xml:space="preserve"> </v>
      </c>
      <c r="AI346" s="501" t="str">
        <f>IF($C$178="MALVERN 23",'MALVERN 23'!$C$102," ")</f>
        <v xml:space="preserve"> </v>
      </c>
      <c r="AJ346" s="378" t="str">
        <f>IF($C$178="MALVERN 23",'MALVERN 23'!$D$102," ")</f>
        <v xml:space="preserve"> </v>
      </c>
      <c r="AK346" s="377" t="str">
        <f>IF($C$178="MALVERN 23",'MALVERN 23'!$C$127," ")</f>
        <v xml:space="preserve"> </v>
      </c>
      <c r="AL346" s="378" t="str">
        <f>IF($C$178="MALVERN 23",'MALVERN 23'!$D$127," ")</f>
        <v xml:space="preserve"> </v>
      </c>
      <c r="AM346" s="377" t="str">
        <f>IF($C$178="MALVERN 23",'MALVERN 23'!$C$136," ")</f>
        <v xml:space="preserve"> </v>
      </c>
      <c r="AN346" s="378" t="str">
        <f>IF($C$178="MALVERN 23",'MALVERN 23'!$D$136," ")</f>
        <v xml:space="preserve"> </v>
      </c>
      <c r="AO346" s="377" t="str">
        <f>IF($C$178="MALVERN 23",'MALVERN 23'!$C$150," ")</f>
        <v xml:space="preserve"> </v>
      </c>
      <c r="AP346" s="378" t="str">
        <f>IF($C$178="MALVERN 23",'MALVERN 23'!$D$150," ")</f>
        <v xml:space="preserve"> </v>
      </c>
      <c r="AQ346" s="377" t="str">
        <f>IF($C$178="MALVERN 23",'MALVERN 23'!$C$157," ")</f>
        <v xml:space="preserve"> </v>
      </c>
      <c r="AR346" s="378" t="str">
        <f>IF($C$178="MALVERN 23",'MALVERN 23'!$D$157," ")</f>
        <v xml:space="preserve"> </v>
      </c>
    </row>
    <row r="347" spans="2:44" ht="18" customHeight="1">
      <c r="B347" s="588" t="s">
        <v>370</v>
      </c>
      <c r="C347" s="589"/>
      <c r="D347" s="589"/>
      <c r="E347" s="589"/>
      <c r="F347" s="590"/>
      <c r="Q347" s="377" t="str">
        <f>IF($C$178="MALVERN 23",'MALVERN 23'!$C$6," ")</f>
        <v xml:space="preserve"> </v>
      </c>
      <c r="R347" s="378" t="str">
        <f>IF($C$178="MALVERN 23",'MALVERN 23'!$D$6," ")</f>
        <v xml:space="preserve"> </v>
      </c>
      <c r="S347" s="377" t="str">
        <f>IF($C$178="MALVERN 23",'MALVERN 23'!$C$21," ")</f>
        <v xml:space="preserve"> </v>
      </c>
      <c r="T347" s="378" t="str">
        <f>IF($C$178="MALVERN 23",'MALVERN 23'!$D$21," ")</f>
        <v xml:space="preserve"> </v>
      </c>
      <c r="U347" s="377" t="str">
        <f>IF($C$178="MALVERN 23",'MALVERN 23'!$C$31," ")</f>
        <v xml:space="preserve"> </v>
      </c>
      <c r="V347" s="378" t="str">
        <f>IF($C$178="MALVERN 23",'MALVERN 23'!$D$31," ")</f>
        <v xml:space="preserve"> </v>
      </c>
      <c r="W347" s="377" t="str">
        <f>IF($C$178="MALVERN 23",'MALVERN 23'!$C$44," ")</f>
        <v xml:space="preserve"> </v>
      </c>
      <c r="X347" s="378" t="str">
        <f>IF($C$178="MALVERN 23",'MALVERN 23'!$D$44," ")</f>
        <v xml:space="preserve"> </v>
      </c>
      <c r="Y347" s="377" t="str">
        <f>IF($C$178="MALVERN 23",'MALVERN 23'!$C$54," ")</f>
        <v xml:space="preserve"> </v>
      </c>
      <c r="Z347" s="378" t="str">
        <f>IF($C$178="MALVERN 23",'MALVERN 23'!$D$54," ")</f>
        <v xml:space="preserve"> </v>
      </c>
      <c r="AA347" s="377" t="str">
        <f>IF($C$178="MALVERN 23",'MALVERN 23'!$C$62," ")</f>
        <v xml:space="preserve"> </v>
      </c>
      <c r="AB347" s="378" t="str">
        <f>IF($C$178="MALVERN 23",'MALVERN 23'!$D$62," ")</f>
        <v xml:space="preserve"> </v>
      </c>
      <c r="AC347" s="377" t="str">
        <f>IF($C$178="MALVERN 23",'MALVERN 23'!$C$68," ")</f>
        <v xml:space="preserve"> </v>
      </c>
      <c r="AD347" s="378" t="str">
        <f>IF($C$178="MALVERN 23",'MALVERN 23'!$D$68," ")</f>
        <v xml:space="preserve"> </v>
      </c>
      <c r="AE347" s="377" t="str">
        <f>IF($C$178="MALVERN 23",'MALVERN 23'!$C$77," ")</f>
        <v xml:space="preserve"> </v>
      </c>
      <c r="AF347" s="378" t="str">
        <f>IF($C$178="MALVERN 23",'MALVERN 23'!$D$77," ")</f>
        <v xml:space="preserve"> </v>
      </c>
      <c r="AG347" s="501" t="str">
        <f>IF($C$178="MALVERN 23",'MALVERN 23'!$C$83," ")</f>
        <v xml:space="preserve"> </v>
      </c>
      <c r="AH347" s="378" t="str">
        <f>IF($C$178="MALVERN 23",'MALVERN 23'!$D$83," ")</f>
        <v xml:space="preserve"> </v>
      </c>
      <c r="AI347" s="501" t="str">
        <f>IF($C$178="MALVERN 23",'MALVERN 23'!$C$103," ")</f>
        <v xml:space="preserve"> </v>
      </c>
      <c r="AJ347" s="378" t="str">
        <f>IF($C$178="MALVERN 23",'MALVERN 23'!$D$103," ")</f>
        <v xml:space="preserve"> </v>
      </c>
      <c r="AK347" s="377" t="str">
        <f>IF($C$178="MALVERN 23",'MALVERN 23'!$C$128," ")</f>
        <v xml:space="preserve"> </v>
      </c>
      <c r="AL347" s="378" t="str">
        <f>IF($C$178="MALVERN 23",'MALVERN 23'!$D$128," ")</f>
        <v xml:space="preserve"> </v>
      </c>
      <c r="AM347" s="377" t="str">
        <f>IF($C$178="MALVERN 23",'MALVERN 23'!$C$137," ")</f>
        <v xml:space="preserve"> </v>
      </c>
      <c r="AN347" s="378" t="str">
        <f>IF($C$178="MALVERN 23",'MALVERN 23'!$D$137," ")</f>
        <v xml:space="preserve"> </v>
      </c>
      <c r="AO347" s="377" t="str">
        <f>IF($C$178="MALVERN 23",'MALVERN 23'!$C$151," ")</f>
        <v xml:space="preserve"> </v>
      </c>
      <c r="AP347" s="378" t="str">
        <f>IF($C$178="MALVERN 23",'MALVERN 23'!$D$151," ")</f>
        <v xml:space="preserve"> </v>
      </c>
      <c r="AQ347" s="377" t="str">
        <f>IF($C$178="MALVERN 23",'MALVERN 23'!$C$158," ")</f>
        <v xml:space="preserve"> </v>
      </c>
      <c r="AR347" s="378" t="str">
        <f>IF($C$178="MALVERN 23",'MALVERN 23'!$D$158," ")</f>
        <v xml:space="preserve"> </v>
      </c>
    </row>
    <row r="348" spans="2:44" ht="18" customHeight="1">
      <c r="B348" s="586"/>
      <c r="C348" s="587"/>
      <c r="D348" s="365">
        <f>_xlfn.XLOOKUP($B348,$AO$173:$AO$393,$AP$173:$AP$393)</f>
        <v>0</v>
      </c>
      <c r="E348" s="445"/>
      <c r="F348" s="363">
        <f>IF(D348="No Cost",0,IF(B215=" ",0,SUM(E348-D348)))</f>
        <v>0</v>
      </c>
      <c r="Q348" s="377" t="str">
        <f>IF($C$178="MALVERN 23",'MALVERN 23'!$C$7," ")</f>
        <v xml:space="preserve"> </v>
      </c>
      <c r="R348" s="378" t="str">
        <f>IF($C$178="MALVERN 23",'MALVERN 23'!$D$7," ")</f>
        <v xml:space="preserve"> </v>
      </c>
      <c r="S348" s="377" t="str">
        <f>IF($C$178="MALVERN 23",'MALVERN 23'!$C$22," ")</f>
        <v xml:space="preserve"> </v>
      </c>
      <c r="T348" s="378" t="str">
        <f>IF($C$178="MALVERN 23",'MALVERN 23'!$D$22," ")</f>
        <v xml:space="preserve"> </v>
      </c>
      <c r="U348" s="377" t="str">
        <f>IF($C$178="MALVERN 23",'MALVERN 23'!$C$32," ")</f>
        <v xml:space="preserve"> </v>
      </c>
      <c r="V348" s="378" t="str">
        <f>IF($C$178="MALVERN 23",'MALVERN 23'!$D$32," ")</f>
        <v xml:space="preserve"> </v>
      </c>
      <c r="W348" s="377" t="str">
        <f>IF($C$178="MALVERN 23",'MALVERN 23'!$C$45," ")</f>
        <v xml:space="preserve"> </v>
      </c>
      <c r="X348" s="378" t="str">
        <f>IF($C$178="MALVERN 23",'MALVERN 23'!$D$45," ")</f>
        <v xml:space="preserve"> </v>
      </c>
      <c r="Y348" s="377" t="str">
        <f>IF($C$178="MALVERN 23",'MALVERN 23'!$C$55," ")</f>
        <v xml:space="preserve"> </v>
      </c>
      <c r="Z348" s="378" t="str">
        <f>IF($C$178="MALVERN 23",'MALVERN 23'!$D$55," ")</f>
        <v xml:space="preserve"> </v>
      </c>
      <c r="AA348" s="380"/>
      <c r="AB348" s="381"/>
      <c r="AC348" s="377" t="str">
        <f>IF($C$178="MALVERN 23",'MALVERN 23'!$C$69," ")</f>
        <v xml:space="preserve"> </v>
      </c>
      <c r="AD348" s="378" t="str">
        <f>IF($C$178="MALVERN 23",'MALVERN 23'!$D$69," ")</f>
        <v xml:space="preserve"> </v>
      </c>
      <c r="AE348" s="377" t="str">
        <f>IF($C$178="MALVERN 23",'MALVERN 23'!$C$78," ")</f>
        <v xml:space="preserve"> </v>
      </c>
      <c r="AF348" s="378" t="str">
        <f>IF($C$178="MALVERN 23",'MALVERN 23'!$D$78," ")</f>
        <v xml:space="preserve"> </v>
      </c>
      <c r="AG348" s="501" t="str">
        <f>IF($C$178="MALVERN 23",'MALVERN 23'!$C$84," ")</f>
        <v xml:space="preserve"> </v>
      </c>
      <c r="AH348" s="378" t="str">
        <f>IF($C$178="MALVERN 23",'MALVERN 23'!$D$84," ")</f>
        <v xml:space="preserve"> </v>
      </c>
      <c r="AI348" s="501" t="str">
        <f>IF($C$178="MALVERN 23",'MALVERN 23'!$C$104," ")</f>
        <v xml:space="preserve"> </v>
      </c>
      <c r="AJ348" s="378" t="str">
        <f>IF($C$178="MALVERN 23",'MALVERN 23'!$D$104," ")</f>
        <v xml:space="preserve"> </v>
      </c>
      <c r="AK348" s="377" t="str">
        <f>IF($C$178="MALVERN 23",'MALVERN 23'!$C$129," ")</f>
        <v xml:space="preserve"> </v>
      </c>
      <c r="AL348" s="378" t="str">
        <f>IF($C$178="MALVERN 23",'MALVERN 23'!$D$129," ")</f>
        <v xml:space="preserve"> </v>
      </c>
      <c r="AM348" s="377" t="str">
        <f>IF($C$178="MALVERN 23",'MALVERN 23'!$C$138," ")</f>
        <v xml:space="preserve"> </v>
      </c>
      <c r="AN348" s="378" t="str">
        <f>IF($C$178="MALVERN 23",'MALVERN 23'!$D$138," ")</f>
        <v xml:space="preserve"> </v>
      </c>
      <c r="AO348" s="377" t="str">
        <f>IF($C$178="MALVERN 23",'MALVERN 23'!$C$152," ")</f>
        <v xml:space="preserve"> </v>
      </c>
      <c r="AP348" s="378" t="str">
        <f>IF($C$178="MALVERN 23",'MALVERN 23'!$D$152," ")</f>
        <v xml:space="preserve"> </v>
      </c>
      <c r="AQ348" s="377" t="str">
        <f>IF($C$178="MALVERN 23",'MALVERN 23'!$C$159," ")</f>
        <v xml:space="preserve"> </v>
      </c>
      <c r="AR348" s="378" t="str">
        <f>IF($C$178="MALVERN 23",'MALVERN 23'!$D$159," ")</f>
        <v xml:space="preserve"> </v>
      </c>
    </row>
    <row r="349" spans="2:44" ht="18" customHeight="1">
      <c r="B349" s="586"/>
      <c r="C349" s="587"/>
      <c r="D349" s="365">
        <f>_xlfn.XLOOKUP($B349,$AO$173:$AO$393,$AP$173:$AP$393)</f>
        <v>0</v>
      </c>
      <c r="E349" s="445"/>
      <c r="F349" s="363">
        <f t="shared" ref="F349:F352" si="27">SUM(E349-D349)</f>
        <v>0</v>
      </c>
      <c r="Q349" s="377" t="str">
        <f>IF($C$178="MALVERN 23",'MALVERN 23'!$C$8," ")</f>
        <v xml:space="preserve"> </v>
      </c>
      <c r="R349" s="378" t="str">
        <f>IF($C$178="MALVERN 23",'MALVERN 23'!$D$8," ")</f>
        <v xml:space="preserve"> </v>
      </c>
      <c r="S349" s="377" t="str">
        <f>IF($C$178="MALVERN 23",'MALVERN 23'!$C$23," ")</f>
        <v xml:space="preserve"> </v>
      </c>
      <c r="T349" s="378" t="str">
        <f>IF($C$178="MALVERN 23",'MALVERN 23'!$D$23," ")</f>
        <v xml:space="preserve"> </v>
      </c>
      <c r="U349" s="377" t="str">
        <f>IF($C$178="MALVERN 23",'MALVERN 23'!$C$33," ")</f>
        <v xml:space="preserve"> </v>
      </c>
      <c r="V349" s="378" t="str">
        <f>IF($C$178="MALVERN 23",'MALVERN 23'!$D$33," ")</f>
        <v xml:space="preserve"> </v>
      </c>
      <c r="W349" s="377" t="str">
        <f>IF($C$178="MALVERN 23",'MALVERN 23'!$C$46," ")</f>
        <v xml:space="preserve"> </v>
      </c>
      <c r="X349" s="378" t="str">
        <f>IF($C$178="MALVERN 23",'MALVERN 23'!$D$46," ")</f>
        <v xml:space="preserve"> </v>
      </c>
      <c r="Y349" s="377" t="str">
        <f>IF($C$178="MALVERN 23",'MALVERN 23'!$C$56," ")</f>
        <v xml:space="preserve"> </v>
      </c>
      <c r="Z349" s="378" t="str">
        <f>IF($C$178="MALVERN 23",'MALVERN 23'!$D$56," ")</f>
        <v xml:space="preserve"> </v>
      </c>
      <c r="AA349" s="380"/>
      <c r="AB349" s="381"/>
      <c r="AC349" s="377" t="str">
        <f>IF($C$178="MALVERN 23",'MALVERN 23'!$C$70," ")</f>
        <v xml:space="preserve"> </v>
      </c>
      <c r="AD349" s="378" t="str">
        <f>IF($C$178="MALVERN 23",'MALVERN 23'!$D$70," ")</f>
        <v xml:space="preserve"> </v>
      </c>
      <c r="AE349" s="382"/>
      <c r="AF349" s="382"/>
      <c r="AG349" s="501" t="str">
        <f>IF($C$178="MALVERN 23",'MALVERN 23'!$C$85," ")</f>
        <v xml:space="preserve"> </v>
      </c>
      <c r="AH349" s="378" t="str">
        <f>IF($C$178="MALVERN 23",'MALVERN 23'!$D$85," ")</f>
        <v xml:space="preserve"> </v>
      </c>
      <c r="AI349" s="501" t="str">
        <f>IF($C$178="MALVERN 23",'MALVERN 23'!$C$105," ")</f>
        <v xml:space="preserve"> </v>
      </c>
      <c r="AJ349" s="378" t="str">
        <f>IF($C$178="MALVERN 23",'MALVERN 23'!$D$105," ")</f>
        <v xml:space="preserve"> </v>
      </c>
      <c r="AK349" s="377" t="str">
        <f>IF($C$178="MALVERN 23",'MALVERN 23'!$C$130," ")</f>
        <v xml:space="preserve"> </v>
      </c>
      <c r="AL349" s="378" t="str">
        <f>IF($C$178="MALVERN 23",'MALVERN 23'!$D$130," ")</f>
        <v xml:space="preserve"> </v>
      </c>
      <c r="AM349" s="377" t="str">
        <f>IF($C$178="MALVERN 23",'MALVERN 23'!$C$139," ")</f>
        <v xml:space="preserve"> </v>
      </c>
      <c r="AN349" s="378" t="str">
        <f>IF($C$178="MALVERN 23",'MALVERN 23'!$D$139," ")</f>
        <v xml:space="preserve"> </v>
      </c>
      <c r="AO349" s="377" t="str">
        <f>IF($C$178="MALVERN 23",'MALVERN 23'!$C$153," ")</f>
        <v xml:space="preserve"> </v>
      </c>
      <c r="AP349" s="378" t="str">
        <f>IF($C$178="MALVERN 23",'MALVERN 23'!$D$153," ")</f>
        <v xml:space="preserve"> </v>
      </c>
      <c r="AQ349" s="377" t="str">
        <f>IF($C$178="MALVERN 23",'MALVERN 23'!$C$160," ")</f>
        <v xml:space="preserve"> </v>
      </c>
      <c r="AR349" s="378" t="str">
        <f>IF($C$178="MALVERN 23",'MALVERN 23'!$D$160," ")</f>
        <v xml:space="preserve"> </v>
      </c>
    </row>
    <row r="350" spans="2:44" ht="18" customHeight="1">
      <c r="B350" s="586"/>
      <c r="C350" s="587"/>
      <c r="D350" s="365">
        <f>_xlfn.XLOOKUP($B350,$AO$173:$AO$393,$AP$173:$AP$393)</f>
        <v>0</v>
      </c>
      <c r="E350" s="445"/>
      <c r="F350" s="363">
        <f t="shared" si="27"/>
        <v>0</v>
      </c>
      <c r="Q350" s="377" t="str">
        <f>IF($C$178="MALVERN 23",'MALVERN 23'!$C$9," ")</f>
        <v xml:space="preserve"> </v>
      </c>
      <c r="R350" s="378" t="str">
        <f>IF($C$178="MALVERN 23",'MALVERN 23'!$D$9," ")</f>
        <v xml:space="preserve"> </v>
      </c>
      <c r="S350" s="377" t="str">
        <f>IF($C$178="MALVERN 23",'MALVERN 23'!$C$24," ")</f>
        <v xml:space="preserve"> </v>
      </c>
      <c r="T350" s="378" t="str">
        <f>IF($C$178="MALVERN 23",'MALVERN 23'!$D$24," ")</f>
        <v xml:space="preserve"> </v>
      </c>
      <c r="U350" s="377" t="str">
        <f>IF($C$178="MALVERN 23",'MALVERN 23'!$C$34," ")</f>
        <v xml:space="preserve"> </v>
      </c>
      <c r="V350" s="378" t="str">
        <f>IF($C$178="MALVERN 23",'MALVERN 23'!$D$34," ")</f>
        <v xml:space="preserve"> </v>
      </c>
      <c r="W350" s="377" t="str">
        <f>IF($C$178="MALVERN 23",'MALVERN 23'!$C$47," ")</f>
        <v xml:space="preserve"> </v>
      </c>
      <c r="X350" s="378" t="str">
        <f>IF($C$178="MALVERN 23",'MALVERN 23'!$D$47," ")</f>
        <v xml:space="preserve"> </v>
      </c>
      <c r="Y350" s="377" t="str">
        <f>IF($C$178="MALVERN 23",'MALVERN 23'!$C$57," ")</f>
        <v xml:space="preserve"> </v>
      </c>
      <c r="Z350" s="378" t="str">
        <f>IF($C$178="MALVERN 23",'MALVERN 23'!$D$57," ")</f>
        <v xml:space="preserve"> </v>
      </c>
      <c r="AA350" s="380"/>
      <c r="AB350" s="381"/>
      <c r="AC350" s="377" t="str">
        <f>IF($C$178="MALVERN 23",'MALVERN 23'!$C$71," ")</f>
        <v xml:space="preserve"> </v>
      </c>
      <c r="AD350" s="378" t="str">
        <f>IF($C$178="MALVERN 23",'MALVERN 23'!$D$71," ")</f>
        <v xml:space="preserve"> </v>
      </c>
      <c r="AE350" s="382"/>
      <c r="AF350" s="382"/>
      <c r="AG350" s="501" t="str">
        <f>IF($C$178="MALVERN 23",'MALVERN 23'!$C$86," ")</f>
        <v xml:space="preserve"> </v>
      </c>
      <c r="AH350" s="378" t="str">
        <f>IF($C$178="MALVERN 23",'MALVERN 23'!$D$86," ")</f>
        <v xml:space="preserve"> </v>
      </c>
      <c r="AI350" s="501" t="str">
        <f>IF($C$178="MALVERN 23",'MALVERN 23'!$C$106," ")</f>
        <v xml:space="preserve"> </v>
      </c>
      <c r="AJ350" s="378" t="str">
        <f>IF($C$178="MALVERN 23",'MALVERN 23'!$D$106," ")</f>
        <v xml:space="preserve"> </v>
      </c>
      <c r="AK350" s="377" t="str">
        <f>IF($C$178="MALVERN 23",'MALVERN 23'!$C$131," ")</f>
        <v xml:space="preserve"> </v>
      </c>
      <c r="AL350" s="378" t="str">
        <f>IF($C$178="MALVERN 23",'MALVERN 23'!$D$131," ")</f>
        <v xml:space="preserve"> </v>
      </c>
      <c r="AM350" s="377" t="str">
        <f>IF($C$178="MALVERN 23",'MALVERN 23'!$C$140," ")</f>
        <v xml:space="preserve"> </v>
      </c>
      <c r="AN350" s="378" t="str">
        <f>IF($C$178="MALVERN 23",'MALVERN 23'!$D$140," ")</f>
        <v xml:space="preserve"> </v>
      </c>
      <c r="AO350" s="380"/>
      <c r="AP350" s="381"/>
      <c r="AQ350" s="377" t="str">
        <f>IF($C$178="MALVERN 23",'MALVERN 23'!$C$161," ")</f>
        <v xml:space="preserve"> </v>
      </c>
      <c r="AR350" s="378" t="str">
        <f>IF($C$178="MALVERN 23",'MALVERN 23'!$D$161," ")</f>
        <v xml:space="preserve"> </v>
      </c>
    </row>
    <row r="351" spans="2:44" ht="18" customHeight="1">
      <c r="B351" s="586"/>
      <c r="C351" s="587"/>
      <c r="D351" s="365">
        <f>_xlfn.XLOOKUP($B351,$AO$173:$AO$393,$AP$173:$AP$393)</f>
        <v>0</v>
      </c>
      <c r="E351" s="447"/>
      <c r="F351" s="363">
        <f t="shared" si="27"/>
        <v>0</v>
      </c>
      <c r="Q351" s="377" t="str">
        <f>IF($C$178="MALVERN 23",'MALVERN 23'!$C$10," ")</f>
        <v xml:space="preserve"> </v>
      </c>
      <c r="R351" s="378" t="str">
        <f>IF($C$178="MALVERN 23",'MALVERN 23'!$D$10," ")</f>
        <v xml:space="preserve"> </v>
      </c>
      <c r="S351" s="377" t="str">
        <f>IF($C$178="MALVERN 23",'MALVERN 23'!$C$25," ")</f>
        <v xml:space="preserve"> </v>
      </c>
      <c r="T351" s="378" t="str">
        <f>IF($C$178="MALVERN 23",'MALVERN 23'!$D$25," ")</f>
        <v xml:space="preserve"> </v>
      </c>
      <c r="U351" s="377" t="str">
        <f>IF($C$178="MALVERN 23",'MALVERN 23'!$C$35," ")</f>
        <v xml:space="preserve"> </v>
      </c>
      <c r="V351" s="378" t="str">
        <f>IF($C$178="MALVERN 23",'MALVERN 23'!$D$35," ")</f>
        <v xml:space="preserve"> </v>
      </c>
      <c r="W351" s="377" t="str">
        <f>IF($C$178="MALVERN 23",'MALVERN 23'!$C$48," ")</f>
        <v xml:space="preserve"> </v>
      </c>
      <c r="X351" s="378" t="str">
        <f>IF($C$178="MALVERN 23",'MALVERN 23'!$D$48," ")</f>
        <v xml:space="preserve"> </v>
      </c>
      <c r="Y351" s="380"/>
      <c r="Z351" s="381"/>
      <c r="AA351" s="380"/>
      <c r="AB351" s="381"/>
      <c r="AC351" s="377" t="str">
        <f>IF($C$178="MALVERN 23",'MALVERN 23'!$C$72," ")</f>
        <v xml:space="preserve"> </v>
      </c>
      <c r="AD351" s="378" t="str">
        <f>IF($C$178="MALVERN 23",'MALVERN 23'!$D$72," ")</f>
        <v xml:space="preserve"> </v>
      </c>
      <c r="AE351" s="382"/>
      <c r="AF351" s="382"/>
      <c r="AG351" s="501" t="str">
        <f>IF($C$178="MALVERN 23",'MALVERN 23'!$C$87," ")</f>
        <v xml:space="preserve"> </v>
      </c>
      <c r="AH351" s="378" t="str">
        <f>IF($C$178="MALVERN 23",'MALVERN 23'!$D$87," ")</f>
        <v xml:space="preserve"> </v>
      </c>
      <c r="AI351" s="501" t="str">
        <f>IF($C$178="MALVERN 23",'MALVERN 23'!$C$107," ")</f>
        <v xml:space="preserve"> </v>
      </c>
      <c r="AJ351" s="378" t="str">
        <f>IF($C$178="MALVERN 23",'MALVERN 23'!$D$107," ")</f>
        <v xml:space="preserve"> </v>
      </c>
      <c r="AK351" s="377" t="str">
        <f>IF($C$178="MALVERN 23",'MALVERN 23'!$C$132," ")</f>
        <v xml:space="preserve"> </v>
      </c>
      <c r="AL351" s="378" t="str">
        <f>IF($C$178="MALVERN 23",'MALVERN 23'!$D$132," ")</f>
        <v xml:space="preserve"> </v>
      </c>
      <c r="AM351" s="377" t="str">
        <f>IF($C$178="MALVERN 23",'MALVERN 23'!$C$141," ")</f>
        <v xml:space="preserve"> </v>
      </c>
      <c r="AN351" s="378" t="str">
        <f>IF($C$178="MALVERN 23",'MALVERN 23'!$D$141," ")</f>
        <v xml:space="preserve"> </v>
      </c>
      <c r="AO351" s="380"/>
      <c r="AP351" s="381"/>
      <c r="AQ351" s="377" t="str">
        <f>IF($C$178="MALVERN 23",'MALVERN 23'!$C$162," ")</f>
        <v xml:space="preserve"> </v>
      </c>
      <c r="AR351" s="378" t="str">
        <f>IF($C$178="MALVERN 23",'MALVERN 23'!$D$162," ")</f>
        <v xml:space="preserve"> </v>
      </c>
    </row>
    <row r="352" spans="2:44" ht="18" customHeight="1">
      <c r="B352" s="586"/>
      <c r="C352" s="587"/>
      <c r="D352" s="365">
        <f>_xlfn.XLOOKUP($B352,$AO$173:$AO$393,$AP$173:$AP$393)</f>
        <v>0</v>
      </c>
      <c r="E352" s="447"/>
      <c r="F352" s="363">
        <f t="shared" si="27"/>
        <v>0</v>
      </c>
      <c r="Q352" s="377"/>
      <c r="R352" s="378"/>
      <c r="S352" s="377"/>
      <c r="T352" s="378"/>
      <c r="U352" s="377"/>
      <c r="V352" s="378"/>
      <c r="W352" s="377"/>
      <c r="X352" s="378"/>
      <c r="Y352" s="380"/>
      <c r="Z352" s="381"/>
      <c r="AA352" s="380"/>
      <c r="AB352" s="381"/>
      <c r="AC352" s="377"/>
      <c r="AD352" s="378"/>
      <c r="AE352" s="382"/>
      <c r="AF352" s="382"/>
      <c r="AG352" s="501"/>
      <c r="AH352" s="378"/>
      <c r="AI352" s="501"/>
      <c r="AJ352" s="378"/>
      <c r="AK352" s="377"/>
      <c r="AL352" s="378"/>
      <c r="AM352" s="377"/>
      <c r="AN352" s="378"/>
      <c r="AO352" s="380"/>
      <c r="AP352" s="381"/>
      <c r="AQ352" s="377"/>
      <c r="AR352" s="378"/>
    </row>
    <row r="353" spans="2:44" s="390" customFormat="1" ht="18" customHeight="1">
      <c r="B353" s="588" t="s">
        <v>1141</v>
      </c>
      <c r="C353" s="589"/>
      <c r="D353" s="589"/>
      <c r="E353" s="589"/>
      <c r="F353" s="590"/>
      <c r="Q353" s="377" t="str">
        <f>IF($C$178="MALVERN 23",'MALVERN 23'!$C$11," ")</f>
        <v xml:space="preserve"> </v>
      </c>
      <c r="R353" s="378" t="str">
        <f>IF($C$178="MALVERN 23",'MALVERN 23'!$D$11," ")</f>
        <v xml:space="preserve"> </v>
      </c>
      <c r="S353" s="380"/>
      <c r="T353" s="381"/>
      <c r="U353" s="377" t="str">
        <f>IF($C$178="MALVERN 23",'MALVERN 23'!$C$36," ")</f>
        <v xml:space="preserve"> </v>
      </c>
      <c r="V353" s="378" t="str">
        <f>IF($C$178="MALVERN 23",'MALVERN 23'!$D$36," ")</f>
        <v xml:space="preserve"> </v>
      </c>
      <c r="W353" s="377" t="str">
        <f>IF($C$178="MALVERN 23",'MALVERN 23'!$C$49," ")</f>
        <v xml:space="preserve"> </v>
      </c>
      <c r="X353" s="378" t="str">
        <f>IF($C$178="MALVERN 23",'MALVERN 23'!$D$49," ")</f>
        <v xml:space="preserve"> </v>
      </c>
      <c r="Y353" s="380"/>
      <c r="Z353" s="381"/>
      <c r="AA353" s="380"/>
      <c r="AB353" s="381"/>
      <c r="AC353" s="382"/>
      <c r="AD353" s="382"/>
      <c r="AE353" s="382"/>
      <c r="AF353" s="382"/>
      <c r="AG353" s="501" t="str">
        <f>IF($C$178="MALVERN 23",'MALVERN 23'!$C$88," ")</f>
        <v xml:space="preserve"> </v>
      </c>
      <c r="AH353" s="378" t="str">
        <f>IF($C$178="MALVERN 23",'MALVERN 23'!$D$88," ")</f>
        <v xml:space="preserve"> </v>
      </c>
      <c r="AI353" s="501" t="str">
        <f>IF($C$178="MALVERN 23",'MALVERN 23'!$C$108," ")</f>
        <v xml:space="preserve"> </v>
      </c>
      <c r="AJ353" s="378" t="str">
        <f>IF($C$178="MALVERN 23",'MALVERN 23'!$D$108," ")</f>
        <v xml:space="preserve"> </v>
      </c>
      <c r="AK353" s="380"/>
      <c r="AL353" s="381"/>
      <c r="AM353" s="377" t="str">
        <f>IF($C$178="MALVERN 23",'MALVERN 23'!$C$142," ")</f>
        <v xml:space="preserve"> </v>
      </c>
      <c r="AN353" s="378" t="str">
        <f>IF($C$178="MALVERN 23",'MALVERN 23'!$D$142," ")</f>
        <v xml:space="preserve"> </v>
      </c>
      <c r="AO353" s="380"/>
      <c r="AP353" s="381"/>
      <c r="AQ353" s="380"/>
      <c r="AR353" s="381"/>
    </row>
    <row r="354" spans="2:44" s="390" customFormat="1" ht="18" customHeight="1">
      <c r="B354" s="586"/>
      <c r="C354" s="587"/>
      <c r="D354" s="365">
        <f t="shared" ref="D354:D360" si="28">_xlfn.XLOOKUP($B354,$AQ$173:$AQ$393,$AR$173:$AR$393)</f>
        <v>0</v>
      </c>
      <c r="E354" s="445"/>
      <c r="F354" s="363">
        <f>SUM(E354-D354)</f>
        <v>0</v>
      </c>
      <c r="Q354" s="377" t="str">
        <f>IF($C$178="MALVERN 23",'MALVERN 23'!$C$12," ")</f>
        <v xml:space="preserve"> </v>
      </c>
      <c r="R354" s="378" t="str">
        <f>IF($C$178="MALVERN 23",'MALVERN 23'!$D$12," ")</f>
        <v xml:space="preserve"> </v>
      </c>
      <c r="S354" s="380"/>
      <c r="T354" s="381"/>
      <c r="U354" s="377" t="str">
        <f>IF($C$178="MALVERN 23",'MALVERN 23'!$C$37," ")</f>
        <v xml:space="preserve"> </v>
      </c>
      <c r="V354" s="378" t="str">
        <f>IF($C$178="MALVERN 23",'MALVERN 23'!$D$37," ")</f>
        <v xml:space="preserve"> </v>
      </c>
      <c r="W354" s="380"/>
      <c r="X354" s="381"/>
      <c r="Y354" s="380"/>
      <c r="Z354" s="381"/>
      <c r="AA354" s="380"/>
      <c r="AB354" s="381"/>
      <c r="AC354" s="382"/>
      <c r="AD354" s="382"/>
      <c r="AE354" s="382"/>
      <c r="AF354" s="382"/>
      <c r="AG354" s="501" t="str">
        <f>IF($C$178="MALVERN 23",'MALVERN 23'!$C$89," ")</f>
        <v xml:space="preserve"> </v>
      </c>
      <c r="AH354" s="378" t="str">
        <f>IF($C$178="MALVERN 23",'MALVERN 23'!$D$89," ")</f>
        <v xml:space="preserve"> </v>
      </c>
      <c r="AI354" s="501" t="str">
        <f>IF($C$178="MALVERN 23",'MALVERN 23'!$C$109," ")</f>
        <v xml:space="preserve"> </v>
      </c>
      <c r="AJ354" s="378" t="str">
        <f>IF($C$178="MALVERN 23",'MALVERN 23'!$D$109," ")</f>
        <v xml:space="preserve"> </v>
      </c>
      <c r="AK354" s="380"/>
      <c r="AL354" s="381"/>
      <c r="AM354" s="377" t="str">
        <f>IF($C$178="MALVERN 23",'MALVERN 23'!$C$143," ")</f>
        <v xml:space="preserve"> </v>
      </c>
      <c r="AN354" s="378" t="str">
        <f>IF($C$178="MALVERN 23",'MALVERN 23'!$D$143," ")</f>
        <v xml:space="preserve"> </v>
      </c>
      <c r="AO354" s="380"/>
      <c r="AP354" s="381"/>
      <c r="AQ354" s="380"/>
      <c r="AR354" s="381"/>
    </row>
    <row r="355" spans="2:44" s="390" customFormat="1" ht="18" customHeight="1">
      <c r="B355" s="586"/>
      <c r="C355" s="587"/>
      <c r="D355" s="365">
        <f t="shared" si="28"/>
        <v>0</v>
      </c>
      <c r="E355" s="445"/>
      <c r="F355" s="363">
        <f>SUM(E355-D355)</f>
        <v>0</v>
      </c>
      <c r="Q355" s="377" t="str">
        <f>IF($C$178="MALVERN 23",'MALVERN 23'!$C$13," ")</f>
        <v xml:space="preserve"> </v>
      </c>
      <c r="R355" s="378" t="str">
        <f>IF($C$178="MALVERN 23",'MALVERN 23'!$D$13," ")</f>
        <v xml:space="preserve"> </v>
      </c>
      <c r="S355" s="382"/>
      <c r="T355" s="382"/>
      <c r="U355" s="377" t="str">
        <f>IF($C$178="MALVERN 23",'MALVERN 23'!$C$38," ")</f>
        <v xml:space="preserve"> </v>
      </c>
      <c r="V355" s="378" t="str">
        <f>IF($C$178="MALVERN 23",'MALVERN 23'!$D$38," ")</f>
        <v xml:space="preserve"> </v>
      </c>
      <c r="W355" s="380"/>
      <c r="X355" s="381"/>
      <c r="Y355" s="380"/>
      <c r="Z355" s="381"/>
      <c r="AA355" s="380"/>
      <c r="AB355" s="381"/>
      <c r="AC355" s="382"/>
      <c r="AD355" s="382"/>
      <c r="AE355" s="382"/>
      <c r="AF355" s="382"/>
      <c r="AG355" s="501" t="str">
        <f>IF($C$178="MALVERN 23",'MALVERN 23'!$C$90," ")</f>
        <v xml:space="preserve"> </v>
      </c>
      <c r="AH355" s="378" t="str">
        <f>IF($C$178="MALVERN 23",'MALVERN 23'!$D$90," ")</f>
        <v xml:space="preserve"> </v>
      </c>
      <c r="AI355" s="501" t="str">
        <f>IF($C$178="MALVERN 23",'MALVERN 23'!$C$110," ")</f>
        <v xml:space="preserve"> </v>
      </c>
      <c r="AJ355" s="378" t="str">
        <f>IF($C$178="MALVERN 23",'MALVERN 23'!$D$110," ")</f>
        <v xml:space="preserve"> </v>
      </c>
      <c r="AK355" s="380"/>
      <c r="AL355" s="381"/>
      <c r="AM355" s="377" t="str">
        <f>IF($C$178="MALVERN 23",'MALVERN 23'!$C$144," ")</f>
        <v xml:space="preserve"> </v>
      </c>
      <c r="AN355" s="378" t="str">
        <f>IF($C$178="MALVERN 23",'MALVERN 23'!$D$144," ")</f>
        <v xml:space="preserve"> </v>
      </c>
      <c r="AO355" s="380"/>
      <c r="AP355" s="381"/>
      <c r="AQ355" s="380"/>
      <c r="AR355" s="381"/>
    </row>
    <row r="356" spans="2:44" s="390" customFormat="1" ht="18" customHeight="1">
      <c r="B356" s="586"/>
      <c r="C356" s="587"/>
      <c r="D356" s="365">
        <f t="shared" si="28"/>
        <v>0</v>
      </c>
      <c r="E356" s="445"/>
      <c r="F356" s="363">
        <f>SUM(E356-D356)</f>
        <v>0</v>
      </c>
      <c r="Q356" s="377" t="str">
        <f>IF($C$178="MALVERN 23",'MALVERN 23'!$C$14," ")</f>
        <v xml:space="preserve"> </v>
      </c>
      <c r="R356" s="378" t="str">
        <f>IF($C$178="MALVERN 23",'MALVERN 23'!$D$14," ")</f>
        <v xml:space="preserve"> </v>
      </c>
      <c r="S356" s="382"/>
      <c r="T356" s="382"/>
      <c r="U356" s="377" t="str">
        <f>IF($C$178="MALVERN 23",'MALVERN 23'!$C$39," ")</f>
        <v xml:space="preserve"> </v>
      </c>
      <c r="V356" s="378" t="str">
        <f>IF($C$178="MALVERN 23",'MALVERN 23'!$D$39," ")</f>
        <v xml:space="preserve"> </v>
      </c>
      <c r="W356" s="380"/>
      <c r="X356" s="381"/>
      <c r="Y356" s="380"/>
      <c r="Z356" s="381"/>
      <c r="AA356" s="380"/>
      <c r="AB356" s="381"/>
      <c r="AC356" s="382"/>
      <c r="AD356" s="382"/>
      <c r="AE356" s="382"/>
      <c r="AF356" s="382"/>
      <c r="AG356" s="501" t="str">
        <f>IF($C$178="MALVERN 23",'MALVERN 23'!$C$91," ")</f>
        <v xml:space="preserve"> </v>
      </c>
      <c r="AH356" s="378" t="str">
        <f>IF($C$178="MALVERN 23",'MALVERN 23'!$D$91," ")</f>
        <v xml:space="preserve"> </v>
      </c>
      <c r="AI356" s="501" t="str">
        <f>IF($C$178="MALVERN 23",'MALVERN 23'!$C$111," ")</f>
        <v xml:space="preserve"> </v>
      </c>
      <c r="AJ356" s="378" t="str">
        <f>IF($C$178="MALVERN 23",'MALVERN 23'!$D$111," ")</f>
        <v xml:space="preserve"> </v>
      </c>
      <c r="AK356" s="380"/>
      <c r="AL356" s="381"/>
      <c r="AM356" s="377" t="str">
        <f>IF($C$178="MALVERN 23",'MALVERN 23'!$C$145," ")</f>
        <v xml:space="preserve"> </v>
      </c>
      <c r="AN356" s="378" t="str">
        <f>IF($C$178="MALVERN 23",'MALVERN 23'!$D$145," ")</f>
        <v xml:space="preserve"> </v>
      </c>
      <c r="AO356" s="380"/>
      <c r="AP356" s="381"/>
      <c r="AQ356" s="380"/>
      <c r="AR356" s="381"/>
    </row>
    <row r="357" spans="2:44" s="390" customFormat="1" ht="18" customHeight="1">
      <c r="B357" s="586"/>
      <c r="C357" s="587"/>
      <c r="D357" s="365">
        <f t="shared" si="28"/>
        <v>0</v>
      </c>
      <c r="E357" s="445"/>
      <c r="F357" s="363">
        <f>SUM(E357-D357)</f>
        <v>0</v>
      </c>
      <c r="Q357" s="377" t="str">
        <f>IF($C$178="MALVERN 23",'MALVERN 23'!$C$15," ")</f>
        <v xml:space="preserve"> </v>
      </c>
      <c r="R357" s="378" t="str">
        <f>IF($C$178="MALVERN 23",'MALVERN 23'!$D$15," ")</f>
        <v xml:space="preserve"> </v>
      </c>
      <c r="S357" s="382"/>
      <c r="T357" s="382"/>
      <c r="U357" s="380"/>
      <c r="V357" s="381"/>
      <c r="W357" s="380"/>
      <c r="X357" s="381"/>
      <c r="Y357" s="380"/>
      <c r="Z357" s="381"/>
      <c r="AA357" s="380"/>
      <c r="AB357" s="381"/>
      <c r="AC357" s="382"/>
      <c r="AD357" s="382"/>
      <c r="AE357" s="382"/>
      <c r="AF357" s="382"/>
      <c r="AG357" s="501" t="str">
        <f>IF($C$178="MALVERN 23",'MALVERN 23'!$C$92," ")</f>
        <v xml:space="preserve"> </v>
      </c>
      <c r="AH357" s="378" t="str">
        <f>IF($C$178="MALVERN 23",'MALVERN 23'!$D$92," ")</f>
        <v xml:space="preserve"> </v>
      </c>
      <c r="AI357" s="501" t="str">
        <f>IF($C$178="MALVERN 23",'MALVERN 23'!$C$112," ")</f>
        <v xml:space="preserve"> </v>
      </c>
      <c r="AJ357" s="378" t="str">
        <f>IF($C$178="MALVERN 23",'MALVERN 23'!$D$112," ")</f>
        <v xml:space="preserve"> </v>
      </c>
      <c r="AK357" s="380"/>
      <c r="AL357" s="381"/>
      <c r="AM357" s="377" t="str">
        <f>IF($C$178="MALVERN 23",'MALVERN 23'!$C$146," ")</f>
        <v xml:space="preserve"> </v>
      </c>
      <c r="AN357" s="378" t="str">
        <f>IF($C$178="MALVERN 23",'MALVERN 23'!$D$146," ")</f>
        <v xml:space="preserve"> </v>
      </c>
      <c r="AO357" s="380"/>
      <c r="AP357" s="381"/>
      <c r="AQ357" s="380"/>
      <c r="AR357" s="381"/>
    </row>
    <row r="358" spans="2:44" s="390" customFormat="1" ht="18" customHeight="1">
      <c r="B358" s="586"/>
      <c r="C358" s="587"/>
      <c r="D358" s="365">
        <f t="shared" si="28"/>
        <v>0</v>
      </c>
      <c r="E358" s="445"/>
      <c r="F358" s="363">
        <f>SUM(E358-D358)</f>
        <v>0</v>
      </c>
      <c r="Q358" s="377" t="str">
        <f>IF($C$178="MALVERN 23",'MALVERN 23'!$C$16," ")</f>
        <v xml:space="preserve"> </v>
      </c>
      <c r="R358" s="378" t="str">
        <f>IF($C$178="MALVERN 23",'MALVERN 23'!$D$16," ")</f>
        <v xml:space="preserve"> </v>
      </c>
      <c r="S358" s="382"/>
      <c r="T358" s="382"/>
      <c r="U358" s="382"/>
      <c r="V358" s="382"/>
      <c r="W358" s="382"/>
      <c r="X358" s="382"/>
      <c r="Y358" s="382"/>
      <c r="Z358" s="382"/>
      <c r="AA358" s="382"/>
      <c r="AB358" s="382"/>
      <c r="AC358" s="382"/>
      <c r="AD358" s="382"/>
      <c r="AE358" s="382"/>
      <c r="AF358" s="382"/>
      <c r="AG358" s="501" t="str">
        <f>IF($C$178="MALVERN 23",'MALVERN 23'!$C$93," ")</f>
        <v xml:space="preserve"> </v>
      </c>
      <c r="AH358" s="378" t="str">
        <f>IF($C$178="MALVERN 23",'MALVERN 23'!$D$93," ")</f>
        <v xml:space="preserve"> </v>
      </c>
      <c r="AI358" s="501" t="str">
        <f>IF($C$178="MALVERN 23",'MALVERN 23'!$C$113," ")</f>
        <v xml:space="preserve"> </v>
      </c>
      <c r="AJ358" s="378" t="str">
        <f>IF($C$178="MALVERN 23",'MALVERN 23'!$D$113," ")</f>
        <v xml:space="preserve"> </v>
      </c>
      <c r="AK358" s="380"/>
      <c r="AL358" s="381"/>
      <c r="AM358" s="380"/>
      <c r="AN358" s="381"/>
      <c r="AO358" s="380"/>
      <c r="AP358" s="381"/>
      <c r="AQ358" s="380"/>
      <c r="AR358" s="381"/>
    </row>
    <row r="359" spans="2:44" s="390" customFormat="1" ht="18" customHeight="1">
      <c r="B359" s="586"/>
      <c r="C359" s="587"/>
      <c r="D359" s="365">
        <f t="shared" si="28"/>
        <v>0</v>
      </c>
      <c r="E359" s="445"/>
      <c r="F359" s="363">
        <f t="shared" ref="F359:F360" si="29">SUM(E359-D359)</f>
        <v>0</v>
      </c>
      <c r="Q359" s="377"/>
      <c r="R359" s="378"/>
      <c r="S359" s="382"/>
      <c r="T359" s="382"/>
      <c r="U359" s="382"/>
      <c r="V359" s="382"/>
      <c r="W359" s="382"/>
      <c r="X359" s="382"/>
      <c r="Y359" s="382"/>
      <c r="Z359" s="382"/>
      <c r="AA359" s="382"/>
      <c r="AB359" s="382"/>
      <c r="AC359" s="382"/>
      <c r="AD359" s="382"/>
      <c r="AE359" s="382"/>
      <c r="AF359" s="382"/>
      <c r="AG359" s="501"/>
      <c r="AH359" s="378"/>
      <c r="AI359" s="501"/>
      <c r="AJ359" s="378"/>
      <c r="AK359" s="380"/>
      <c r="AL359" s="381"/>
      <c r="AM359" s="380"/>
      <c r="AN359" s="381"/>
      <c r="AO359" s="380"/>
      <c r="AP359" s="381"/>
      <c r="AQ359" s="380"/>
      <c r="AR359" s="381"/>
    </row>
    <row r="360" spans="2:44" s="390" customFormat="1" ht="18" customHeight="1">
      <c r="B360" s="586"/>
      <c r="C360" s="587"/>
      <c r="D360" s="365">
        <f t="shared" si="28"/>
        <v>0</v>
      </c>
      <c r="E360" s="445"/>
      <c r="F360" s="363">
        <f t="shared" si="29"/>
        <v>0</v>
      </c>
      <c r="Q360" s="377"/>
      <c r="R360" s="378"/>
      <c r="S360" s="382"/>
      <c r="T360" s="382"/>
      <c r="U360" s="382"/>
      <c r="V360" s="382"/>
      <c r="W360" s="382"/>
      <c r="X360" s="382"/>
      <c r="Y360" s="382"/>
      <c r="Z360" s="382"/>
      <c r="AA360" s="382"/>
      <c r="AB360" s="382"/>
      <c r="AC360" s="382"/>
      <c r="AD360" s="382"/>
      <c r="AE360" s="382"/>
      <c r="AF360" s="382"/>
      <c r="AG360" s="501"/>
      <c r="AH360" s="378"/>
      <c r="AI360" s="501"/>
      <c r="AJ360" s="378"/>
      <c r="AK360" s="380"/>
      <c r="AL360" s="381"/>
      <c r="AM360" s="380"/>
      <c r="AN360" s="381"/>
      <c r="AO360" s="380"/>
      <c r="AP360" s="381"/>
      <c r="AQ360" s="380"/>
      <c r="AR360" s="381"/>
    </row>
    <row r="361" spans="2:44" s="390" customFormat="1" ht="18" customHeight="1">
      <c r="B361" s="617" t="s">
        <v>430</v>
      </c>
      <c r="C361" s="618"/>
      <c r="D361" s="364">
        <f>SUM(D178:D358)</f>
        <v>6150</v>
      </c>
      <c r="E361" s="364">
        <f>SUM(E178:E358)</f>
        <v>0</v>
      </c>
      <c r="F361" s="366">
        <f>SUM(F178:F358)</f>
        <v>-6150</v>
      </c>
      <c r="G361" s="406"/>
      <c r="Q361" s="382"/>
      <c r="R361" s="483"/>
      <c r="S361" s="382"/>
      <c r="T361" s="382"/>
      <c r="U361" s="382"/>
      <c r="V361" s="382"/>
      <c r="W361" s="382"/>
      <c r="X361" s="382"/>
      <c r="Y361" s="382"/>
      <c r="Z361" s="382"/>
      <c r="AA361" s="382"/>
      <c r="AB361" s="382"/>
      <c r="AC361" s="382"/>
      <c r="AD361" s="382"/>
      <c r="AE361" s="382"/>
      <c r="AF361" s="382"/>
      <c r="AG361" s="501" t="str">
        <f>IF($C$178="MALVERN 23",'MALVERN 23'!$C$94," ")</f>
        <v xml:space="preserve"> </v>
      </c>
      <c r="AH361" s="378" t="str">
        <f>IF($C$178="MALVERN 23",'MALVERN 23'!$D$94," ")</f>
        <v xml:space="preserve"> </v>
      </c>
      <c r="AI361" s="501" t="str">
        <f>IF($C$178="MALVERN 23",'MALVERN 23'!$C$114," ")</f>
        <v xml:space="preserve"> </v>
      </c>
      <c r="AJ361" s="378" t="str">
        <f>IF($C$178="MALVERN 23",'MALVERN 23'!$D$114," ")</f>
        <v xml:space="preserve"> </v>
      </c>
      <c r="AK361" s="380"/>
      <c r="AL361" s="381"/>
      <c r="AM361" s="380"/>
      <c r="AN361" s="381"/>
      <c r="AO361" s="380"/>
      <c r="AP361" s="381"/>
      <c r="AQ361" s="380"/>
      <c r="AR361" s="381"/>
    </row>
    <row r="362" spans="2:44" s="390" customFormat="1" ht="18" customHeight="1">
      <c r="B362" s="448"/>
      <c r="C362" s="449" t="s">
        <v>431</v>
      </c>
      <c r="D362" s="619">
        <f>SUM(D361)</f>
        <v>6150</v>
      </c>
      <c r="E362" s="620"/>
      <c r="F362" s="621"/>
      <c r="Q362" s="382"/>
      <c r="R362" s="504"/>
      <c r="S362" s="382"/>
      <c r="T362" s="382"/>
      <c r="U362" s="382"/>
      <c r="V362" s="382"/>
      <c r="W362" s="382"/>
      <c r="X362" s="382"/>
      <c r="Y362" s="382"/>
      <c r="Z362" s="382"/>
      <c r="AA362" s="382"/>
      <c r="AB362" s="382"/>
      <c r="AC362" s="382"/>
      <c r="AD362" s="382"/>
      <c r="AE362" s="382"/>
      <c r="AF362" s="382"/>
      <c r="AG362" s="501" t="str">
        <f>IF($C$178="MALVERN 23",'MALVERN 23'!$C$95," ")</f>
        <v xml:space="preserve"> </v>
      </c>
      <c r="AH362" s="378" t="str">
        <f>IF($C$178="MALVERN 23",'MALVERN 23'!$D$95," ")</f>
        <v xml:space="preserve"> </v>
      </c>
      <c r="AI362" s="501" t="str">
        <f>IF($C$178="MALVERN 23",'MALVERN 23'!$C$115," ")</f>
        <v xml:space="preserve"> </v>
      </c>
      <c r="AJ362" s="378" t="str">
        <f>IF($C$178="MALVERN 23",'MALVERN 23'!$D$115," ")</f>
        <v xml:space="preserve"> </v>
      </c>
      <c r="AK362" s="380"/>
      <c r="AL362" s="381"/>
      <c r="AM362" s="380"/>
      <c r="AN362" s="381"/>
      <c r="AO362" s="380"/>
      <c r="AP362" s="381"/>
      <c r="AQ362" s="380"/>
      <c r="AR362" s="381"/>
    </row>
    <row r="363" spans="2:44" s="390" customFormat="1" ht="18" customHeight="1">
      <c r="B363" s="448"/>
      <c r="C363" s="449"/>
      <c r="D363" s="450"/>
      <c r="E363" s="450"/>
      <c r="F363" s="451"/>
      <c r="Q363" s="382"/>
      <c r="R363" s="483"/>
      <c r="S363" s="382"/>
      <c r="T363" s="382"/>
      <c r="U363" s="382"/>
      <c r="V363" s="382"/>
      <c r="W363" s="382"/>
      <c r="X363" s="382"/>
      <c r="Y363" s="382"/>
      <c r="Z363" s="382"/>
      <c r="AA363" s="382"/>
      <c r="AB363" s="382"/>
      <c r="AC363" s="382"/>
      <c r="AD363" s="382"/>
      <c r="AE363" s="382"/>
      <c r="AF363" s="382"/>
      <c r="AG363" s="501" t="str">
        <f>IF($C$178="MALVERN 23",'MALVERN 23'!$C$96," ")</f>
        <v xml:space="preserve"> </v>
      </c>
      <c r="AH363" s="378" t="str">
        <f>IF($C$178="MALVERN 23",'MALVERN 23'!$D$96," ")</f>
        <v xml:space="preserve"> </v>
      </c>
      <c r="AI363" s="501" t="str">
        <f>IF($C$178="MALVERN 23",'MALVERN 23'!$C$116," ")</f>
        <v xml:space="preserve"> </v>
      </c>
      <c r="AJ363" s="378" t="str">
        <f>IF($C$178="MALVERN 23",'MALVERN 23'!$D$116," ")</f>
        <v xml:space="preserve"> </v>
      </c>
      <c r="AK363" s="380"/>
      <c r="AL363" s="381"/>
      <c r="AM363" s="380"/>
      <c r="AN363" s="381"/>
      <c r="AO363" s="380"/>
      <c r="AP363" s="381"/>
      <c r="AQ363" s="380"/>
      <c r="AR363" s="381"/>
    </row>
    <row r="364" spans="2:44" s="390" customFormat="1" ht="18" customHeight="1" thickBot="1">
      <c r="B364" s="654" t="s">
        <v>432</v>
      </c>
      <c r="C364" s="655"/>
      <c r="D364" s="452"/>
      <c r="E364" s="452"/>
      <c r="F364" s="453"/>
      <c r="Q364" s="382"/>
      <c r="R364" s="483"/>
      <c r="S364" s="382"/>
      <c r="T364" s="382"/>
      <c r="U364" s="382"/>
      <c r="V364" s="382"/>
      <c r="W364" s="382"/>
      <c r="X364" s="382"/>
      <c r="Y364" s="382"/>
      <c r="Z364" s="382"/>
      <c r="AA364" s="382"/>
      <c r="AB364" s="382"/>
      <c r="AC364" s="382"/>
      <c r="AD364" s="382"/>
      <c r="AE364" s="382"/>
      <c r="AF364" s="382"/>
      <c r="AG364" s="501" t="str">
        <f>IF($C$178="MALVERN 23",'MALVERN 23'!$C$97," ")</f>
        <v xml:space="preserve"> </v>
      </c>
      <c r="AH364" s="378" t="str">
        <f>IF($C$178="MALVERN 23",'MALVERN 23'!$D$97," ")</f>
        <v xml:space="preserve"> </v>
      </c>
      <c r="AI364" s="501" t="str">
        <f>IF($C$178="MALVERN 23",'MALVERN 23'!$C$117," ")</f>
        <v xml:space="preserve"> </v>
      </c>
      <c r="AJ364" s="378" t="str">
        <f>IF($C$178="MALVERN 23",'MALVERN 23'!$D$117," ")</f>
        <v xml:space="preserve"> </v>
      </c>
      <c r="AK364" s="380"/>
      <c r="AL364" s="381"/>
      <c r="AM364" s="380"/>
      <c r="AN364" s="381"/>
      <c r="AO364" s="380"/>
      <c r="AP364" s="381"/>
      <c r="AQ364" s="380"/>
      <c r="AR364" s="381"/>
    </row>
    <row r="365" spans="2:44" s="390" customFormat="1" ht="18" customHeight="1" thickBot="1">
      <c r="B365" s="407"/>
      <c r="C365" s="454"/>
      <c r="D365" s="455"/>
      <c r="E365" s="455"/>
      <c r="F365" s="455"/>
      <c r="Q365" s="382"/>
      <c r="R365" s="483"/>
      <c r="S365" s="382"/>
      <c r="T365" s="382"/>
      <c r="U365" s="382"/>
      <c r="V365" s="382"/>
      <c r="W365" s="382"/>
      <c r="X365" s="382"/>
      <c r="Y365" s="382"/>
      <c r="Z365" s="382"/>
      <c r="AA365" s="382"/>
      <c r="AB365" s="382"/>
      <c r="AC365" s="382"/>
      <c r="AD365" s="382"/>
      <c r="AE365" s="382"/>
      <c r="AF365" s="382"/>
      <c r="AG365" s="501" t="str">
        <f>IF($C$178="MALVERN 23",'MALVERN 23'!$C$98," ")</f>
        <v xml:space="preserve"> </v>
      </c>
      <c r="AH365" s="378" t="str">
        <f>IF($C$178="MALVERN 23",'MALVERN 23'!$D$98," ")</f>
        <v xml:space="preserve"> </v>
      </c>
      <c r="AI365" s="501" t="str">
        <f>IF($C$178="MALVERN 23",'MALVERN 23'!$C$118," ")</f>
        <v xml:space="preserve"> </v>
      </c>
      <c r="AJ365" s="378" t="str">
        <f>IF($C$178="MALVERN 23",'MALVERN 23'!$D$118," ")</f>
        <v xml:space="preserve"> </v>
      </c>
      <c r="AK365" s="380"/>
      <c r="AL365" s="381"/>
      <c r="AM365" s="380"/>
      <c r="AN365" s="381"/>
      <c r="AO365" s="380"/>
      <c r="AP365" s="381"/>
      <c r="AQ365" s="380"/>
      <c r="AR365" s="381"/>
    </row>
    <row r="366" spans="2:44" s="390" customFormat="1" ht="18" customHeight="1">
      <c r="B366" s="456"/>
      <c r="C366" s="457"/>
      <c r="D366" s="458"/>
      <c r="E366" s="458"/>
      <c r="F366" s="459"/>
      <c r="Q366" s="382"/>
      <c r="R366" s="483"/>
      <c r="S366" s="382"/>
      <c r="T366" s="382"/>
      <c r="U366" s="382"/>
      <c r="V366" s="382"/>
      <c r="W366" s="382"/>
      <c r="X366" s="382"/>
      <c r="Y366" s="382"/>
      <c r="Z366" s="382"/>
      <c r="AA366" s="382"/>
      <c r="AB366" s="382"/>
      <c r="AC366" s="382"/>
      <c r="AD366" s="382"/>
      <c r="AE366" s="382"/>
      <c r="AF366" s="382"/>
      <c r="AG366" s="373"/>
      <c r="AH366" s="382"/>
      <c r="AI366" s="501" t="str">
        <f>IF($C$178="MALVERN 23",'MALVERN 23'!$C$119," ")</f>
        <v xml:space="preserve"> </v>
      </c>
      <c r="AJ366" s="378" t="str">
        <f>IF($C$178="MALVERN 23",'MALVERN 23'!$D$119," ")</f>
        <v xml:space="preserve"> </v>
      </c>
      <c r="AK366" s="380"/>
      <c r="AL366" s="381"/>
      <c r="AM366" s="380"/>
      <c r="AN366" s="381"/>
      <c r="AO366" s="380"/>
      <c r="AP366" s="381"/>
      <c r="AQ366" s="380"/>
      <c r="AR366" s="381"/>
    </row>
    <row r="367" spans="2:44" ht="18" customHeight="1">
      <c r="B367" s="418"/>
      <c r="C367" s="454"/>
      <c r="D367" s="455"/>
      <c r="E367" s="455"/>
      <c r="F367" s="460"/>
      <c r="G367" s="407"/>
      <c r="Q367" s="382"/>
      <c r="R367" s="483"/>
      <c r="S367" s="382"/>
      <c r="T367" s="382"/>
      <c r="U367" s="382"/>
      <c r="V367" s="382"/>
      <c r="W367" s="382"/>
      <c r="X367" s="382"/>
      <c r="Y367" s="382"/>
      <c r="Z367" s="382"/>
      <c r="AA367" s="382"/>
      <c r="AB367" s="382"/>
      <c r="AC367" s="382"/>
      <c r="AD367" s="382"/>
      <c r="AE367" s="382"/>
      <c r="AF367" s="382"/>
      <c r="AG367" s="398"/>
      <c r="AH367" s="382"/>
      <c r="AI367" s="501" t="str">
        <f>IF($C$178="MALVERN 23",'MALVERN 23'!$C$120," ")</f>
        <v xml:space="preserve"> </v>
      </c>
      <c r="AJ367" s="378" t="str">
        <f>IF($C$178="MALVERN 23",'MALVERN 23'!$D$120," ")</f>
        <v xml:space="preserve"> </v>
      </c>
      <c r="AK367" s="380"/>
      <c r="AL367" s="381"/>
      <c r="AM367" s="380"/>
      <c r="AN367" s="381"/>
      <c r="AO367" s="380"/>
      <c r="AP367" s="381"/>
      <c r="AQ367" s="380"/>
      <c r="AR367" s="381"/>
    </row>
    <row r="368" spans="2:44" ht="18" customHeight="1">
      <c r="B368" s="418"/>
      <c r="C368" s="461">
        <f>C47</f>
        <v>0</v>
      </c>
      <c r="D368" s="455"/>
      <c r="E368" s="455"/>
      <c r="F368" s="460"/>
      <c r="Q368" s="382"/>
      <c r="R368" s="483"/>
      <c r="S368" s="382"/>
      <c r="T368" s="382"/>
      <c r="U368" s="382"/>
      <c r="V368" s="382"/>
      <c r="W368" s="382"/>
      <c r="X368" s="382"/>
      <c r="Y368" s="382"/>
      <c r="Z368" s="382"/>
      <c r="AA368" s="382"/>
      <c r="AB368" s="382"/>
      <c r="AC368" s="382"/>
      <c r="AD368" s="382"/>
      <c r="AE368" s="382"/>
      <c r="AF368" s="382"/>
      <c r="AG368" s="398"/>
      <c r="AH368" s="382"/>
      <c r="AI368" s="501" t="str">
        <f>IF($C$178="MALVERN 23",'MALVERN 23'!$C$121," ")</f>
        <v xml:space="preserve"> </v>
      </c>
      <c r="AJ368" s="378" t="str">
        <f>IF($C$178="MALVERN 23",'MALVERN 23'!$D$121," ")</f>
        <v xml:space="preserve"> </v>
      </c>
      <c r="AK368" s="380"/>
      <c r="AL368" s="381"/>
      <c r="AM368" s="380"/>
      <c r="AN368" s="381"/>
      <c r="AO368" s="380"/>
      <c r="AP368" s="381"/>
      <c r="AQ368" s="380"/>
      <c r="AR368" s="381"/>
    </row>
    <row r="369" spans="2:44" ht="18" customHeight="1">
      <c r="B369" s="418"/>
      <c r="C369" s="461">
        <f>C51</f>
        <v>0</v>
      </c>
      <c r="D369" s="455"/>
      <c r="E369" s="455"/>
      <c r="F369" s="460"/>
      <c r="Q369" s="382"/>
      <c r="R369" s="483"/>
      <c r="S369" s="382"/>
      <c r="T369" s="382"/>
      <c r="U369" s="382"/>
      <c r="V369" s="382"/>
      <c r="W369" s="382"/>
      <c r="X369" s="382"/>
      <c r="Y369" s="382"/>
      <c r="Z369" s="382"/>
      <c r="AA369" s="382"/>
      <c r="AB369" s="382"/>
      <c r="AC369" s="382"/>
      <c r="AD369" s="382"/>
      <c r="AE369" s="382"/>
      <c r="AF369" s="382"/>
      <c r="AG369" s="398"/>
      <c r="AH369" s="382"/>
      <c r="AI369" s="501" t="str">
        <f>IF($C$178="MALVERN 23",'MALVERN 23'!$C$122," ")</f>
        <v xml:space="preserve"> </v>
      </c>
      <c r="AJ369" s="378" t="str">
        <f>IF($C$178="MALVERN 23",'MALVERN 23'!$D$122," ")</f>
        <v xml:space="preserve"> </v>
      </c>
      <c r="AK369" s="380"/>
      <c r="AL369" s="381"/>
      <c r="AM369" s="380"/>
      <c r="AN369" s="381"/>
      <c r="AO369" s="380"/>
      <c r="AP369" s="381"/>
      <c r="AQ369" s="380"/>
      <c r="AR369" s="381"/>
    </row>
    <row r="370" spans="2:44" ht="18" customHeight="1">
      <c r="B370" s="462"/>
      <c r="F370" s="420"/>
      <c r="Q370" s="382"/>
      <c r="R370" s="483"/>
      <c r="S370" s="382"/>
      <c r="T370" s="382"/>
      <c r="U370" s="382"/>
      <c r="V370" s="382"/>
      <c r="W370" s="382"/>
      <c r="X370" s="382"/>
      <c r="Y370" s="382"/>
      <c r="Z370" s="382"/>
      <c r="AA370" s="382"/>
      <c r="AB370" s="382"/>
      <c r="AC370" s="382"/>
      <c r="AD370" s="382"/>
      <c r="AE370" s="382"/>
      <c r="AF370" s="382"/>
      <c r="AG370" s="398"/>
      <c r="AH370" s="382"/>
      <c r="AI370" s="501" t="str">
        <f>IF($C$178="MALVERN 23",'MALVERN 23'!$C$123," ")</f>
        <v xml:space="preserve"> </v>
      </c>
      <c r="AJ370" s="378" t="str">
        <f>IF($C$178="MALVERN 23",'MALVERN 23'!$D$123," ")</f>
        <v xml:space="preserve"> </v>
      </c>
      <c r="AK370" s="380"/>
      <c r="AL370" s="381"/>
      <c r="AM370" s="380"/>
      <c r="AN370" s="381"/>
      <c r="AO370" s="380"/>
      <c r="AP370" s="381"/>
      <c r="AQ370" s="380"/>
      <c r="AR370" s="381"/>
    </row>
    <row r="371" spans="2:44" ht="18" customHeight="1">
      <c r="B371" s="462"/>
      <c r="F371" s="420"/>
      <c r="Q371" s="382"/>
      <c r="R371" s="483"/>
      <c r="S371" s="382"/>
      <c r="T371" s="382"/>
      <c r="U371" s="382"/>
      <c r="V371" s="382"/>
      <c r="W371" s="382"/>
      <c r="X371" s="382"/>
      <c r="Y371" s="382"/>
      <c r="Z371" s="382"/>
      <c r="AA371" s="382"/>
      <c r="AB371" s="382"/>
      <c r="AC371" s="382"/>
      <c r="AD371" s="382"/>
      <c r="AE371" s="382"/>
      <c r="AF371" s="382"/>
      <c r="AG371" s="398"/>
      <c r="AH371" s="382"/>
      <c r="AI371" s="516"/>
      <c r="AJ371" s="381"/>
      <c r="AK371" s="382"/>
      <c r="AL371" s="382"/>
      <c r="AM371" s="382"/>
      <c r="AN371" s="382"/>
      <c r="AO371" s="382"/>
      <c r="AP371" s="382"/>
      <c r="AQ371" s="382"/>
      <c r="AR371" s="382"/>
    </row>
    <row r="372" spans="2:44" ht="18" customHeight="1">
      <c r="B372" s="462"/>
      <c r="F372" s="420"/>
      <c r="Q372" s="382"/>
      <c r="R372" s="483"/>
      <c r="S372" s="382"/>
      <c r="T372" s="382"/>
      <c r="U372" s="382"/>
      <c r="V372" s="382"/>
      <c r="W372" s="382"/>
      <c r="X372" s="382"/>
      <c r="Y372" s="382"/>
      <c r="Z372" s="382"/>
      <c r="AA372" s="382"/>
      <c r="AB372" s="382"/>
      <c r="AC372" s="382"/>
      <c r="AD372" s="382"/>
      <c r="AE372" s="382"/>
      <c r="AF372" s="382"/>
      <c r="AG372" s="398"/>
      <c r="AH372" s="382"/>
      <c r="AI372" s="516"/>
      <c r="AJ372" s="381"/>
      <c r="AK372" s="382"/>
      <c r="AL372" s="382"/>
      <c r="AM372" s="382"/>
      <c r="AN372" s="382"/>
      <c r="AO372" s="382"/>
      <c r="AP372" s="382"/>
      <c r="AQ372" s="382"/>
      <c r="AR372" s="382"/>
    </row>
    <row r="373" spans="2:44" ht="18" customHeight="1">
      <c r="B373" s="462"/>
      <c r="F373" s="420"/>
      <c r="Q373" s="374" t="str">
        <f>IF($C$178="MALVERN 25",'MALVERN 25'!$C$4," ")</f>
        <v xml:space="preserve"> </v>
      </c>
      <c r="R373" s="375" t="str">
        <f>IF($C$178="MALVERN 25",'MALVERN 25'!$D$4," ")</f>
        <v xml:space="preserve"> </v>
      </c>
      <c r="S373" s="374" t="str">
        <f>IF($C$178="MALVERN 25",'MALVERN 25'!$C$22," ")</f>
        <v xml:space="preserve"> </v>
      </c>
      <c r="T373" s="375" t="str">
        <f>IF($C$178="MALVERN 25",'MALVERN 25'!$D$22," ")</f>
        <v xml:space="preserve"> </v>
      </c>
      <c r="U373" s="374" t="str">
        <f>IF($C$178="MALVERN 25",'MALVERN 25'!$C$32," ")</f>
        <v xml:space="preserve"> </v>
      </c>
      <c r="V373" s="375" t="str">
        <f>IF($C$178="MALVERN 25",'MALVERN 25'!$D$32," ")</f>
        <v xml:space="preserve"> </v>
      </c>
      <c r="W373" s="374" t="str">
        <f>IF($C$178="MALVERN 25",'MALVERN 25'!$C$45," ")</f>
        <v xml:space="preserve"> </v>
      </c>
      <c r="X373" s="375" t="str">
        <f>IF($C$178="MALVERN 25",'MALVERN 25'!$D$45," ")</f>
        <v xml:space="preserve"> </v>
      </c>
      <c r="Y373" s="374" t="str">
        <f>IF($C$178="MALVERN 25",'MALVERN 25'!$C$55," ")</f>
        <v xml:space="preserve"> </v>
      </c>
      <c r="Z373" s="375" t="str">
        <f>IF($C$178="MALVERN 25",'MALVERN 25'!$D$55," ")</f>
        <v xml:space="preserve"> </v>
      </c>
      <c r="AA373" s="374" t="str">
        <f>IF($C$178="MALVERN 25",'MALVERN 25'!$C$63," ")</f>
        <v xml:space="preserve"> </v>
      </c>
      <c r="AB373" s="375" t="str">
        <f>IF($C$178="MALVERN 25",'MALVERN 25'!$D$63," ")</f>
        <v xml:space="preserve"> </v>
      </c>
      <c r="AC373" s="374" t="str">
        <f>IF($C$178="MALVERN 25",'MALVERN 25'!$C$69," ")</f>
        <v xml:space="preserve"> </v>
      </c>
      <c r="AD373" s="375" t="str">
        <f>IF($C$178="MALVERN 25",'MALVERN 25'!$D$69," ")</f>
        <v xml:space="preserve"> </v>
      </c>
      <c r="AE373" s="374" t="str">
        <f>IF($C$178="MALVERN 25",'MALVERN 25'!$C$78," ")</f>
        <v xml:space="preserve"> </v>
      </c>
      <c r="AF373" s="375" t="str">
        <f>IF($C$178="MALVERN 25",'MALVERN 25'!$D$78," ")</f>
        <v xml:space="preserve"> </v>
      </c>
      <c r="AG373" s="500" t="str">
        <f>IF($C$178="MALVERN 25",'MALVERN 25'!$C$84," ")</f>
        <v xml:space="preserve"> </v>
      </c>
      <c r="AH373" s="375" t="str">
        <f>IF($C$178="MALVERN 25",'MALVERN 25'!$D$84," ")</f>
        <v xml:space="preserve"> </v>
      </c>
      <c r="AI373" s="500" t="str">
        <f>IF($C$178="MALVERN 25",'MALVERN 25'!$C$104," ")</f>
        <v xml:space="preserve"> </v>
      </c>
      <c r="AJ373" s="375" t="str">
        <f>IF($C$178="MALVERN 25",'MALVERN 25'!$D$104," ")</f>
        <v xml:space="preserve"> </v>
      </c>
      <c r="AK373" s="374" t="str">
        <f>IF($C$178="MALVERN 25",'MALVERN 25'!$C$129," ")</f>
        <v xml:space="preserve"> </v>
      </c>
      <c r="AL373" s="375" t="str">
        <f>IF($C$178="MALVERN 25",'MALVERN 25'!$D$129," ")</f>
        <v xml:space="preserve"> </v>
      </c>
      <c r="AM373" s="374" t="str">
        <f>IF($C$178="MALVERN 25",'MALVERN 25'!$C$135," ")</f>
        <v xml:space="preserve"> </v>
      </c>
      <c r="AN373" s="375" t="str">
        <f>IF($C$178="MALVERN 25",'MALVERN 25'!$D$135," ")</f>
        <v xml:space="preserve"> </v>
      </c>
      <c r="AO373" s="374" t="str">
        <f>IF($C$178="MALVERN 25",'MALVERN 25'!$C$152," ")</f>
        <v xml:space="preserve"> </v>
      </c>
      <c r="AP373" s="375" t="str">
        <f>IF($C$178="MALVERN 25",'MALVERN 25'!$D$152," ")</f>
        <v xml:space="preserve"> </v>
      </c>
      <c r="AQ373" s="374" t="str">
        <f>IF($C$178="MALVERN 25",'MALVERN 25'!$C$159," ")</f>
        <v xml:space="preserve"> </v>
      </c>
      <c r="AR373" s="375" t="str">
        <f>IF($C$178="MALVERN 25",'MALVERN 25'!$D$159," ")</f>
        <v xml:space="preserve"> </v>
      </c>
    </row>
    <row r="374" spans="2:44" ht="18" customHeight="1">
      <c r="B374" s="406"/>
      <c r="C374" s="463" t="s">
        <v>433</v>
      </c>
      <c r="D374" s="464"/>
      <c r="E374" s="464"/>
      <c r="F374" s="465"/>
      <c r="Q374" s="377" t="str">
        <f>IF($C$178="MALVERN 25",'MALVERN 25'!$C$5," ")</f>
        <v xml:space="preserve"> </v>
      </c>
      <c r="R374" s="378" t="str">
        <f>IF($C$178="MALVERN 25",'MALVERN 25'!$D$5," ")</f>
        <v xml:space="preserve"> </v>
      </c>
      <c r="S374" s="377" t="str">
        <f>IF($C$178="MALVERN 25",'MALVERN 25'!$C$23," ")</f>
        <v xml:space="preserve"> </v>
      </c>
      <c r="T374" s="378" t="str">
        <f>IF($C$178="MALVERN 25",'MALVERN 25'!$D$23," ")</f>
        <v xml:space="preserve"> </v>
      </c>
      <c r="U374" s="377" t="str">
        <f>IF($C$178="MALVERN 25",'MALVERN 25'!$C$33," ")</f>
        <v xml:space="preserve"> </v>
      </c>
      <c r="V374" s="378" t="str">
        <f>IF($C$178="MALVERN 25",'MALVERN 25'!$D$33," ")</f>
        <v xml:space="preserve"> </v>
      </c>
      <c r="W374" s="377" t="str">
        <f>IF($C$178="MALVERN 25",'MALVERN 25'!$C$46," ")</f>
        <v xml:space="preserve"> </v>
      </c>
      <c r="X374" s="378" t="str">
        <f>IF($C$178="MALVERN 25",'MALVERN 25'!$D$46," ")</f>
        <v xml:space="preserve"> </v>
      </c>
      <c r="Y374" s="377" t="str">
        <f>IF($C$178="MALVERN 25",'MALVERN 25'!$C$56," ")</f>
        <v xml:space="preserve"> </v>
      </c>
      <c r="Z374" s="378" t="str">
        <f>IF($C$178="MALVERN 25",'MALVERN 25'!$D$56," ")</f>
        <v xml:space="preserve"> </v>
      </c>
      <c r="AA374" s="377" t="str">
        <f>IF($C$178="MALVERN 25",'MALVERN 25'!$C$64," ")</f>
        <v xml:space="preserve"> </v>
      </c>
      <c r="AB374" s="378" t="str">
        <f>IF($C$178="MALVERN 25",'MALVERN 25'!$D$64," ")</f>
        <v xml:space="preserve"> </v>
      </c>
      <c r="AC374" s="377" t="str">
        <f>IF($C$178="MALVERN 25",'MALVERN 25'!$C$70," ")</f>
        <v xml:space="preserve"> </v>
      </c>
      <c r="AD374" s="378" t="str">
        <f>IF($C$178="MALVERN 25",'MALVERN 25'!$D$70," ")</f>
        <v xml:space="preserve"> </v>
      </c>
      <c r="AE374" s="377" t="str">
        <f>IF($C$178="MALVERN 25",'MALVERN 25'!$C$79," ")</f>
        <v xml:space="preserve"> </v>
      </c>
      <c r="AF374" s="378" t="str">
        <f>IF($C$178="MALVERN 25",'MALVERN 25'!$D$79," ")</f>
        <v xml:space="preserve"> </v>
      </c>
      <c r="AG374" s="501" t="str">
        <f>IF($C$178="MALVERN 25",'MALVERN 25'!$C$85," ")</f>
        <v xml:space="preserve"> </v>
      </c>
      <c r="AH374" s="378" t="str">
        <f>IF($C$178="MALVERN 25",'MALVERN 25'!$D$85," ")</f>
        <v xml:space="preserve"> </v>
      </c>
      <c r="AI374" s="501" t="str">
        <f>IF($C$178="MALVERN 25",'MALVERN 25'!$C$105," ")</f>
        <v xml:space="preserve"> </v>
      </c>
      <c r="AJ374" s="378" t="str">
        <f>IF($C$178="MALVERN 25",'MALVERN 25'!$D$105," ")</f>
        <v xml:space="preserve"> </v>
      </c>
      <c r="AK374" s="377" t="str">
        <f>IF($C$178="MALVERN 25",'MALVERN 25'!$C$130," ")</f>
        <v xml:space="preserve"> </v>
      </c>
      <c r="AL374" s="378" t="str">
        <f>IF($C$178="MALVERN 25",'MALVERN 25'!$D$130," ")</f>
        <v xml:space="preserve"> </v>
      </c>
      <c r="AM374" s="377" t="str">
        <f>IF($C$178="MALVERN 25",'MALVERN 25'!$C$136," ")</f>
        <v xml:space="preserve"> </v>
      </c>
      <c r="AN374" s="378" t="str">
        <f>IF($C$178="MALVERN 25",'MALVERN 25'!$D$136," ")</f>
        <v xml:space="preserve"> </v>
      </c>
      <c r="AO374" s="377" t="str">
        <f>IF($C$178="MALVERN 25",'MALVERN 25'!$C$153," ")</f>
        <v xml:space="preserve"> </v>
      </c>
      <c r="AP374" s="378" t="str">
        <f>IF($C$178="MALVERN 25",'MALVERN 25'!$D$153," ")</f>
        <v xml:space="preserve"> </v>
      </c>
      <c r="AQ374" s="377" t="str">
        <f>IF($C$178="MALVERN 25",'MALVERN 25'!$C$160," ")</f>
        <v xml:space="preserve"> </v>
      </c>
      <c r="AR374" s="378" t="str">
        <f>IF($C$178="MALVERN 25",'MALVERN 25'!$D$160," ")</f>
        <v xml:space="preserve"> </v>
      </c>
    </row>
    <row r="375" spans="2:44" ht="18" customHeight="1">
      <c r="B375" s="466" t="s">
        <v>434</v>
      </c>
      <c r="C375" s="464" t="s">
        <v>435</v>
      </c>
      <c r="D375" s="464"/>
      <c r="E375" s="464" t="s">
        <v>436</v>
      </c>
      <c r="F375" s="465"/>
      <c r="Q375" s="377" t="str">
        <f>IF($C$178="MALVERN 25",'MALVERN 25'!$C$6," ")</f>
        <v xml:space="preserve"> </v>
      </c>
      <c r="R375" s="378" t="str">
        <f>IF($C$178="MALVERN 25",'MALVERN 25'!$D$6," ")</f>
        <v xml:space="preserve"> </v>
      </c>
      <c r="S375" s="377" t="str">
        <f>IF($C$178="MALVERN 25",'MALVERN 25'!$C$24," ")</f>
        <v xml:space="preserve"> </v>
      </c>
      <c r="T375" s="378" t="str">
        <f>IF($C$178="MALVERN 25",'MALVERN 25'!$D$24," ")</f>
        <v xml:space="preserve"> </v>
      </c>
      <c r="U375" s="377" t="str">
        <f>IF($C$178="MALVERN 25",'MALVERN 25'!$C$34," ")</f>
        <v xml:space="preserve"> </v>
      </c>
      <c r="V375" s="378" t="str">
        <f>IF($C$178="MALVERN 25",'MALVERN 25'!$D$34," ")</f>
        <v xml:space="preserve"> </v>
      </c>
      <c r="W375" s="377" t="str">
        <f>IF($C$178="MALVERN 25",'MALVERN 25'!$C$47," ")</f>
        <v xml:space="preserve"> </v>
      </c>
      <c r="X375" s="378" t="str">
        <f>IF($C$178="MALVERN 25",'MALVERN 25'!$D$47," ")</f>
        <v xml:space="preserve"> </v>
      </c>
      <c r="Y375" s="377" t="str">
        <f>IF($C$178="MALVERN 25",'MALVERN 25'!$C$57," ")</f>
        <v xml:space="preserve"> </v>
      </c>
      <c r="Z375" s="378" t="str">
        <f>IF($C$178="MALVERN 25",'MALVERN 25'!$D$57," ")</f>
        <v xml:space="preserve"> </v>
      </c>
      <c r="AA375" s="377" t="str">
        <f>IF($C$178="MALVERN 25",'MALVERN 25'!$C$65," ")</f>
        <v xml:space="preserve"> </v>
      </c>
      <c r="AB375" s="378" t="str">
        <f>IF($C$178="MALVERN 25",'MALVERN 25'!$D$65," ")</f>
        <v xml:space="preserve"> </v>
      </c>
      <c r="AC375" s="377" t="str">
        <f>IF($C$178="MALVERN 25",'MALVERN 25'!$C$71," ")</f>
        <v xml:space="preserve"> </v>
      </c>
      <c r="AD375" s="378" t="str">
        <f>IF($C$178="MALVERN 25",'MALVERN 25'!$D$71," ")</f>
        <v xml:space="preserve"> </v>
      </c>
      <c r="AE375" s="377" t="str">
        <f>IF($C$178="MALVERN 25",'MALVERN 25'!$C$80," ")</f>
        <v xml:space="preserve"> </v>
      </c>
      <c r="AF375" s="378" t="str">
        <f>IF($C$178="MALVERN 25",'MALVERN 25'!$D$80," ")</f>
        <v xml:space="preserve"> </v>
      </c>
      <c r="AG375" s="501" t="str">
        <f>IF($C$178="MALVERN 25",'MALVERN 25'!$C$86," ")</f>
        <v xml:space="preserve"> </v>
      </c>
      <c r="AH375" s="378" t="str">
        <f>IF($C$178="MALVERN 25",'MALVERN 25'!$D$86," ")</f>
        <v xml:space="preserve"> </v>
      </c>
      <c r="AI375" s="501" t="str">
        <f>IF($C$178="MALVERN 25",'MALVERN 25'!$C$106," ")</f>
        <v xml:space="preserve"> </v>
      </c>
      <c r="AJ375" s="378" t="str">
        <f>IF($C$178="MALVERN 25",'MALVERN 25'!$D$106," ")</f>
        <v xml:space="preserve"> </v>
      </c>
      <c r="AK375" s="377" t="str">
        <f>IF($C$178="MALVERN 25",'MALVERN 25'!$C$131," ")</f>
        <v xml:space="preserve"> </v>
      </c>
      <c r="AL375" s="378" t="str">
        <f>IF($C$178="MALVERN 25",'MALVERN 25'!$D$131," ")</f>
        <v xml:space="preserve"> </v>
      </c>
      <c r="AM375" s="377" t="str">
        <f>IF($C$178="MALVERN 25",'MALVERN 25'!$C$138," ")</f>
        <v xml:space="preserve"> </v>
      </c>
      <c r="AN375" s="378" t="str">
        <f>IF($C$178="MALVERN 25",'MALVERN 25'!$D$138," ")</f>
        <v xml:space="preserve"> </v>
      </c>
      <c r="AO375" s="377" t="str">
        <f>IF($C$178="MALVERN 25",'MALVERN 25'!$C$154," ")</f>
        <v xml:space="preserve"> </v>
      </c>
      <c r="AP375" s="378" t="str">
        <f>IF($C$178="MALVERN 25",'MALVERN 25'!$D$154," ")</f>
        <v xml:space="preserve"> </v>
      </c>
      <c r="AQ375" s="377" t="str">
        <f>IF($C$178="MALVERN 25",'MALVERN 25'!$C$161," ")</f>
        <v xml:space="preserve"> </v>
      </c>
      <c r="AR375" s="378" t="str">
        <f>IF($C$178="MALVERN 25",'MALVERN 25'!$D$161," ")</f>
        <v xml:space="preserve"> </v>
      </c>
    </row>
    <row r="376" spans="2:44" ht="18" customHeight="1">
      <c r="B376" s="467"/>
      <c r="C376" s="468"/>
      <c r="D376" s="469"/>
      <c r="E376" s="470"/>
      <c r="F376" s="465"/>
      <c r="Q376" s="377" t="str">
        <f>IF($C$178="MALVERN 25",'MALVERN 25'!$C$7," ")</f>
        <v xml:space="preserve"> </v>
      </c>
      <c r="R376" s="378" t="str">
        <f>IF($C$178="MALVERN 25",'MALVERN 25'!$D$7," ")</f>
        <v xml:space="preserve"> </v>
      </c>
      <c r="S376" s="377" t="str">
        <f>IF($C$178="MALVERN 25",'MALVERN 25'!$C$25," ")</f>
        <v xml:space="preserve"> </v>
      </c>
      <c r="T376" s="378" t="str">
        <f>IF($C$178="MALVERN 25",'MALVERN 25'!$D$25," ")</f>
        <v xml:space="preserve"> </v>
      </c>
      <c r="U376" s="377" t="str">
        <f>IF($C$178="MALVERN 25",'MALVERN 25'!$C$35," ")</f>
        <v xml:space="preserve"> </v>
      </c>
      <c r="V376" s="378" t="str">
        <f>IF($C$178="MALVERN 25",'MALVERN 25'!$D$35," ")</f>
        <v xml:space="preserve"> </v>
      </c>
      <c r="W376" s="377" t="str">
        <f>IF($C$178="MALVERN 25",'MALVERN 25'!$C$48," ")</f>
        <v xml:space="preserve"> </v>
      </c>
      <c r="X376" s="378" t="str">
        <f>IF($C$178="MALVERN 25",'MALVERN 25'!$D$48," ")</f>
        <v xml:space="preserve"> </v>
      </c>
      <c r="Y376" s="377" t="str">
        <f>IF($C$178="MALVERN 25",'MALVERN 25'!$C$58," ")</f>
        <v xml:space="preserve"> </v>
      </c>
      <c r="Z376" s="378" t="str">
        <f>IF($C$178="MALVERN 25",'MALVERN 25'!$D$58," ")</f>
        <v xml:space="preserve"> </v>
      </c>
      <c r="AA376" s="380"/>
      <c r="AB376" s="381"/>
      <c r="AC376" s="377" t="str">
        <f>IF($C$178="MALVERN 25",'MALVERN 25'!$C$72," ")</f>
        <v xml:space="preserve"> </v>
      </c>
      <c r="AD376" s="378" t="str">
        <f>IF($C$178="MALVERN 25",'MALVERN 25'!$D$72," ")</f>
        <v xml:space="preserve"> </v>
      </c>
      <c r="AE376" s="377" t="str">
        <f>IF($C$178="MALVERN 25",'MALVERN 25'!$C$81," ")</f>
        <v xml:space="preserve"> </v>
      </c>
      <c r="AF376" s="378" t="str">
        <f>IF($C$178="MALVERN 25",'MALVERN 25'!$D$81," ")</f>
        <v xml:space="preserve"> </v>
      </c>
      <c r="AG376" s="501" t="str">
        <f>IF($C$178="MALVERN 25",'MALVERN 25'!$C$87," ")</f>
        <v xml:space="preserve"> </v>
      </c>
      <c r="AH376" s="378" t="str">
        <f>IF($C$178="MALVERN 25",'MALVERN 25'!$D$87," ")</f>
        <v xml:space="preserve"> </v>
      </c>
      <c r="AI376" s="501" t="str">
        <f>IF($C$178="MALVERN 25",'MALVERN 25'!$C$107," ")</f>
        <v xml:space="preserve"> </v>
      </c>
      <c r="AJ376" s="378" t="str">
        <f>IF($C$178="MALVERN 25",'MALVERN 25'!$D$107," ")</f>
        <v xml:space="preserve"> </v>
      </c>
      <c r="AK376" s="377" t="str">
        <f>IF($C$178="MALVERN 25",'MALVERN 25'!$C$132," ")</f>
        <v xml:space="preserve"> </v>
      </c>
      <c r="AL376" s="378" t="str">
        <f>IF($C$178="MALVERN 25",'MALVERN 25'!$D$132," ")</f>
        <v xml:space="preserve"> </v>
      </c>
      <c r="AM376" s="377" t="str">
        <f>IF($C$178="MALVERN 25",'MALVERN 25'!$C$139," ")</f>
        <v xml:space="preserve"> </v>
      </c>
      <c r="AN376" s="378" t="str">
        <f>IF($C$178="MALVERN 25",'MALVERN 25'!$D$139," ")</f>
        <v xml:space="preserve"> </v>
      </c>
      <c r="AO376" s="377" t="str">
        <f>IF($C$178="MALVERN 25",'MALVERN 25'!$C$155," ")</f>
        <v xml:space="preserve"> </v>
      </c>
      <c r="AP376" s="378" t="str">
        <f>IF($C$178="MALVERN 25",'MALVERN 25'!$D$155," ")</f>
        <v xml:space="preserve"> </v>
      </c>
      <c r="AQ376" s="377" t="str">
        <f>IF($C$178="MALVERN 25",'MALVERN 25'!$C$162," ")</f>
        <v xml:space="preserve"> </v>
      </c>
      <c r="AR376" s="378" t="str">
        <f>IF($C$178="MALVERN 25",'MALVERN 25'!$D$162," ")</f>
        <v xml:space="preserve"> </v>
      </c>
    </row>
    <row r="377" spans="2:44" ht="18" customHeight="1">
      <c r="B377" s="471">
        <v>0.05</v>
      </c>
      <c r="C377" s="472" t="s">
        <v>437</v>
      </c>
      <c r="D377" s="473"/>
      <c r="E377" s="474">
        <f>D362*0.05</f>
        <v>307.5</v>
      </c>
      <c r="F377" s="465"/>
      <c r="Q377" s="377" t="str">
        <f>IF($C$178="MALVERN 25",'MALVERN 25'!$C$8," ")</f>
        <v xml:space="preserve"> </v>
      </c>
      <c r="R377" s="378" t="str">
        <f>IF($C$178="MALVERN 25",'MALVERN 25'!$D$8," ")</f>
        <v xml:space="preserve"> </v>
      </c>
      <c r="S377" s="377" t="str">
        <f>IF($C$178="MALVERN 25",'MALVERN 25'!$C$26," ")</f>
        <v xml:space="preserve"> </v>
      </c>
      <c r="T377" s="378" t="str">
        <f>IF($C$178="MALVERN 25",'MALVERN 25'!$D$26," ")</f>
        <v xml:space="preserve"> </v>
      </c>
      <c r="U377" s="377" t="str">
        <f>IF($C$178="MALVERN 25",'MALVERN 25'!$C$36," ")</f>
        <v xml:space="preserve"> </v>
      </c>
      <c r="V377" s="378" t="str">
        <f>IF($C$178="MALVERN 25",'MALVERN 25'!$D$36," ")</f>
        <v xml:space="preserve"> </v>
      </c>
      <c r="W377" s="377" t="str">
        <f>IF($C$178="MALVERN 25",'MALVERN 25'!$C$49," ")</f>
        <v xml:space="preserve"> </v>
      </c>
      <c r="X377" s="378" t="str">
        <f>IF($C$178="MALVERN 25",'MALVERN 25'!$D$49," ")</f>
        <v xml:space="preserve"> </v>
      </c>
      <c r="Y377" s="377" t="str">
        <f>IF($C$178="MALVERN 25",'MALVERN 25'!$C$59," ")</f>
        <v xml:space="preserve"> </v>
      </c>
      <c r="Z377" s="378" t="str">
        <f>IF($C$178="MALVERN 25",'MALVERN 25'!$D$59," ")</f>
        <v xml:space="preserve"> </v>
      </c>
      <c r="AA377" s="380"/>
      <c r="AB377" s="381"/>
      <c r="AC377" s="377" t="str">
        <f>IF($C$178="MALVERN 25",'MALVERN 25'!$C$73," ")</f>
        <v xml:space="preserve"> </v>
      </c>
      <c r="AD377" s="378" t="str">
        <f>IF($C$178="MALVERN 25",'MALVERN 25'!$D$73," ")</f>
        <v xml:space="preserve"> </v>
      </c>
      <c r="AE377" s="382"/>
      <c r="AF377" s="382"/>
      <c r="AG377" s="501" t="str">
        <f>IF($C$178="MALVERN 25",'MALVERN 25'!$C$88," ")</f>
        <v xml:space="preserve"> </v>
      </c>
      <c r="AH377" s="378" t="str">
        <f>IF($C$178="MALVERN 25",'MALVERN 25'!$D$88," ")</f>
        <v xml:space="preserve"> </v>
      </c>
      <c r="AI377" s="501" t="str">
        <f>IF($C$178="MALVERN 25",'MALVERN 25'!$C$108," ")</f>
        <v xml:space="preserve"> </v>
      </c>
      <c r="AJ377" s="378" t="str">
        <f>IF($C$178="MALVERN 25",'MALVERN 25'!$D$108," ")</f>
        <v xml:space="preserve"> </v>
      </c>
      <c r="AK377" s="377" t="str">
        <f>IF($C$178="MALVERN 25",'MALVERN 25'!$C$133," ")</f>
        <v xml:space="preserve"> </v>
      </c>
      <c r="AL377" s="378" t="str">
        <f>IF($C$178="MALVERN 25",'MALVERN 25'!$D$133," ")</f>
        <v xml:space="preserve"> </v>
      </c>
      <c r="AM377" s="377" t="str">
        <f>IF($C$178="MALVERN 25",'MALVERN 25'!$C$140," ")</f>
        <v xml:space="preserve"> </v>
      </c>
      <c r="AN377" s="378" t="str">
        <f>IF($C$178="MALVERN 25",'MALVERN 25'!$D$140," ")</f>
        <v xml:space="preserve"> </v>
      </c>
      <c r="AO377" s="377" t="str">
        <f>IF($C$178="MALVERN 25",'MALVERN 25'!$C$156," ")</f>
        <v xml:space="preserve"> </v>
      </c>
      <c r="AP377" s="378" t="str">
        <f>IF($C$178="MALVERN 25",'MALVERN 25'!$D$156," ")</f>
        <v xml:space="preserve"> </v>
      </c>
      <c r="AQ377" s="377" t="str">
        <f>IF($C$178="MALVERN 25",'MALVERN 25'!$C$163," ")</f>
        <v xml:space="preserve"> </v>
      </c>
      <c r="AR377" s="378" t="str">
        <f>IF($C$178="MALVERN 25",'MALVERN 25'!$D$163," ")</f>
        <v xml:space="preserve"> </v>
      </c>
    </row>
    <row r="378" spans="2:44" ht="18" customHeight="1">
      <c r="B378" s="471">
        <v>0.15</v>
      </c>
      <c r="C378" s="472" t="s">
        <v>438</v>
      </c>
      <c r="D378" s="473"/>
      <c r="E378" s="474">
        <f>SUM(D362*0.15)</f>
        <v>922.5</v>
      </c>
      <c r="F378" s="465"/>
      <c r="Q378" s="377" t="str">
        <f>IF($C$178="MALVERN 25",'MALVERN 25'!$C$9," ")</f>
        <v xml:space="preserve"> </v>
      </c>
      <c r="R378" s="378" t="str">
        <f>IF($C$178="MALVERN 25",'MALVERN 25'!$D$9," ")</f>
        <v xml:space="preserve"> </v>
      </c>
      <c r="S378" s="377" t="str">
        <f>IF($C$178="MALVERN 25",'MALVERN 25'!$C$27," ")</f>
        <v xml:space="preserve"> </v>
      </c>
      <c r="T378" s="378" t="str">
        <f>IF($C$178="MALVERN 25",'MALVERN 25'!$D$27," ")</f>
        <v xml:space="preserve"> </v>
      </c>
      <c r="U378" s="377" t="str">
        <f>IF($C$178="MALVERN 25",'MALVERN 25'!$C$37," ")</f>
        <v xml:space="preserve"> </v>
      </c>
      <c r="V378" s="378" t="str">
        <f>IF($C$178="MALVERN 25",'MALVERN 25'!$D$37," ")</f>
        <v xml:space="preserve"> </v>
      </c>
      <c r="W378" s="377" t="str">
        <f>IF($C$178="MALVERN 25",'MALVERN 25'!$C$50," ")</f>
        <v xml:space="preserve"> </v>
      </c>
      <c r="X378" s="378" t="str">
        <f>IF($C$178="MALVERN 25",'MALVERN 25'!$D$50," ")</f>
        <v xml:space="preserve"> </v>
      </c>
      <c r="Y378" s="377" t="str">
        <f>IF($C$178="MALVERN 25",'MALVERN 25'!$C$60," ")</f>
        <v xml:space="preserve"> </v>
      </c>
      <c r="Z378" s="378" t="str">
        <f>IF($C$178="MALVERN 25",'MALVERN 25'!$D$60," ")</f>
        <v xml:space="preserve"> </v>
      </c>
      <c r="AA378" s="380"/>
      <c r="AB378" s="381"/>
      <c r="AC378" s="377" t="str">
        <f>IF($C$178="MALVERN 25",'MALVERN 25'!$C$74," ")</f>
        <v xml:space="preserve"> </v>
      </c>
      <c r="AD378" s="378" t="str">
        <f>IF($C$178="MALVERN 25",'MALVERN 25'!$D$74," ")</f>
        <v xml:space="preserve"> </v>
      </c>
      <c r="AE378" s="382"/>
      <c r="AF378" s="382"/>
      <c r="AG378" s="501" t="str">
        <f>IF($C$178="MALVERN 25",'MALVERN 25'!$C$89," ")</f>
        <v xml:space="preserve"> </v>
      </c>
      <c r="AH378" s="378" t="str">
        <f>IF($C$178="MALVERN 25",'MALVERN 25'!$D$89," ")</f>
        <v xml:space="preserve"> </v>
      </c>
      <c r="AI378" s="501" t="str">
        <f>IF($C$178="MALVERN 25",'MALVERN 25'!$C$109," ")</f>
        <v xml:space="preserve"> </v>
      </c>
      <c r="AJ378" s="378" t="str">
        <f>IF($C$178="MALVERN 25",'MALVERN 25'!$D$109," ")</f>
        <v xml:space="preserve"> </v>
      </c>
      <c r="AK378" s="377" t="str">
        <f>IF($C$178="MALVERN 25",'MALVERN 25'!$C$134," ")</f>
        <v xml:space="preserve"> </v>
      </c>
      <c r="AL378" s="378" t="str">
        <f>IF($C$178="MALVERN 25",'MALVERN 25'!$D$134," ")</f>
        <v xml:space="preserve"> </v>
      </c>
      <c r="AM378" s="377" t="str">
        <f>IF($C$178="MALVERN 25",'MALVERN 25'!$C$141," ")</f>
        <v xml:space="preserve"> </v>
      </c>
      <c r="AN378" s="378" t="str">
        <f>IF($C$178="MALVERN 25",'MALVERN 25'!$D$141," ")</f>
        <v xml:space="preserve"> </v>
      </c>
      <c r="AO378" s="380"/>
      <c r="AP378" s="381"/>
      <c r="AQ378" s="377" t="str">
        <f>IF($C$178="MALVERN 25",'MALVERN 25'!$C$164," ")</f>
        <v xml:space="preserve"> </v>
      </c>
      <c r="AR378" s="378" t="str">
        <f>IF($C$178="MALVERN 25",'MALVERN 25'!$D$164," ")</f>
        <v xml:space="preserve"> </v>
      </c>
    </row>
    <row r="379" spans="2:44" ht="18" customHeight="1">
      <c r="B379" s="471">
        <v>0.15</v>
      </c>
      <c r="C379" s="472" t="s">
        <v>439</v>
      </c>
      <c r="D379" s="473"/>
      <c r="E379" s="474">
        <f>SUM(D362*0.15)</f>
        <v>922.5</v>
      </c>
      <c r="F379" s="465"/>
      <c r="Q379" s="377" t="str">
        <f>IF($C$178="MALVERN 25",'MALVERN 25'!$C$10," ")</f>
        <v xml:space="preserve"> </v>
      </c>
      <c r="R379" s="378" t="str">
        <f>IF($C$178="MALVERN 25",'MALVERN 25'!$D$10," ")</f>
        <v xml:space="preserve"> </v>
      </c>
      <c r="S379" s="377" t="str">
        <f>IF($C$178="MALVERN 25",'MALVERN 25'!$C$28," ")</f>
        <v xml:space="preserve"> </v>
      </c>
      <c r="T379" s="378" t="str">
        <f>IF($C$178="MALVERN 25",'MALVERN 25'!$D$28," ")</f>
        <v xml:space="preserve"> </v>
      </c>
      <c r="U379" s="377" t="str">
        <f>IF($C$178="MALVERN 25",'MALVERN 25'!$C$38," ")</f>
        <v xml:space="preserve"> </v>
      </c>
      <c r="V379" s="378" t="str">
        <f>IF($C$178="MALVERN 25",'MALVERN 25'!$D$38," ")</f>
        <v xml:space="preserve"> </v>
      </c>
      <c r="W379" s="377" t="str">
        <f>IF($C$178="MALVERN 25",'MALVERN 25'!$C$51," ")</f>
        <v xml:space="preserve"> </v>
      </c>
      <c r="X379" s="378" t="str">
        <f>IF($C$178="MALVERN 25",'MALVERN 25'!$D$51," ")</f>
        <v xml:space="preserve"> </v>
      </c>
      <c r="Y379" s="380"/>
      <c r="Z379" s="381"/>
      <c r="AA379" s="380"/>
      <c r="AB379" s="381"/>
      <c r="AC379" s="377" t="str">
        <f>IF($C$178="MALVERN 25",'MALVERN 25'!$C$75," ")</f>
        <v xml:space="preserve"> </v>
      </c>
      <c r="AD379" s="378" t="str">
        <f>IF($C$178="MALVERN 25",'MALVERN 25'!$D$75," ")</f>
        <v xml:space="preserve"> </v>
      </c>
      <c r="AE379" s="382"/>
      <c r="AF379" s="382"/>
      <c r="AG379" s="501" t="str">
        <f>IF($C$178="MALVERN 25",'MALVERN 25'!$C$90," ")</f>
        <v xml:space="preserve"> </v>
      </c>
      <c r="AH379" s="378" t="str">
        <f>IF($C$178="MALVERN 25",'MALVERN 25'!$D$90," ")</f>
        <v xml:space="preserve"> </v>
      </c>
      <c r="AI379" s="501" t="str">
        <f>IF($C$178="MALVERN 25",'MALVERN 25'!$C$110," ")</f>
        <v xml:space="preserve"> </v>
      </c>
      <c r="AJ379" s="378" t="str">
        <f>IF($C$178="MALVERN 25",'MALVERN 25'!$D$110," ")</f>
        <v xml:space="preserve"> </v>
      </c>
      <c r="AK379" s="377" t="str">
        <f>IF($C$178="MALVERN 25",'MALVERN 25'!$C$135," ")</f>
        <v xml:space="preserve"> </v>
      </c>
      <c r="AL379" s="378" t="str">
        <f>IF($C$178="MALVERN 25",'MALVERN 25'!$D$135," ")</f>
        <v xml:space="preserve"> </v>
      </c>
      <c r="AM379" s="377" t="str">
        <f>IF($C$178="MALVERN 25",'MALVERN 25'!$C$142," ")</f>
        <v xml:space="preserve"> </v>
      </c>
      <c r="AN379" s="378" t="str">
        <f>IF($C$178="MALVERN 25",'MALVERN 25'!$D$142," ")</f>
        <v xml:space="preserve"> </v>
      </c>
      <c r="AO379" s="380"/>
      <c r="AP379" s="381"/>
      <c r="AQ379" s="377" t="str">
        <f>IF($C$178="MALVERN 25",'MALVERN 25'!$C$165," ")</f>
        <v xml:space="preserve"> </v>
      </c>
      <c r="AR379" s="378" t="str">
        <f>IF($C$178="MALVERN 25",'MALVERN 25'!$D$165," ")</f>
        <v xml:space="preserve"> </v>
      </c>
    </row>
    <row r="380" spans="2:44" s="390" customFormat="1" ht="18" customHeight="1">
      <c r="B380" s="475">
        <v>0.17499999999999999</v>
      </c>
      <c r="C380" s="472" t="s">
        <v>440</v>
      </c>
      <c r="D380" s="473"/>
      <c r="E380" s="474">
        <f>SUM(D362*0.175)</f>
        <v>1076.25</v>
      </c>
      <c r="F380" s="465"/>
      <c r="Q380" s="377" t="str">
        <f>IF($C$178="MALVERN 25",'MALVERN 25'!$C$11," ")</f>
        <v xml:space="preserve"> </v>
      </c>
      <c r="R380" s="378" t="str">
        <f>IF($C$178="MALVERN 25",'MALVERN 25'!$D$11," ")</f>
        <v xml:space="preserve"> </v>
      </c>
      <c r="S380" s="380"/>
      <c r="T380" s="381"/>
      <c r="U380" s="377" t="str">
        <f>IF($C$178="MALVERN 25",'MALVERN 25'!$C$39," ")</f>
        <v xml:space="preserve"> </v>
      </c>
      <c r="V380" s="378" t="str">
        <f>IF($C$178="MALVERN 25",'MALVERN 25'!$D$39," ")</f>
        <v xml:space="preserve"> </v>
      </c>
      <c r="W380" s="377" t="str">
        <f>IF($C$178="MALVERN 25",'MALVERN 25'!$C$52," ")</f>
        <v xml:space="preserve"> </v>
      </c>
      <c r="X380" s="378" t="str">
        <f>IF($C$178="MALVERN 25",'MALVERN 25'!$D$52," ")</f>
        <v xml:space="preserve"> </v>
      </c>
      <c r="Y380" s="380"/>
      <c r="Z380" s="381"/>
      <c r="AA380" s="380"/>
      <c r="AB380" s="381"/>
      <c r="AC380" s="382"/>
      <c r="AD380" s="382"/>
      <c r="AE380" s="382"/>
      <c r="AF380" s="382"/>
      <c r="AG380" s="501" t="str">
        <f>IF($C$178="MALVERN 25",'MALVERN 25'!$C$91," ")</f>
        <v xml:space="preserve"> </v>
      </c>
      <c r="AH380" s="378" t="str">
        <f>IF($C$178="MALVERN 25",'MALVERN 25'!$D$91," ")</f>
        <v xml:space="preserve"> </v>
      </c>
      <c r="AI380" s="501" t="str">
        <f>IF($C$178="MALVERN 25",'MALVERN 25'!$C$111," ")</f>
        <v xml:space="preserve"> </v>
      </c>
      <c r="AJ380" s="378" t="str">
        <f>IF($C$178="MALVERN 25",'MALVERN 25'!$D$111," ")</f>
        <v xml:space="preserve"> </v>
      </c>
      <c r="AK380" s="377" t="str">
        <f>IF($C$178="MALVERN 25",'MALVERN 25'!$C$169," ")</f>
        <v xml:space="preserve"> </v>
      </c>
      <c r="AL380" s="378" t="str">
        <f>IF($C$178="MALVERN 25",'MALVERN 25'!$D$169," ")</f>
        <v xml:space="preserve"> </v>
      </c>
      <c r="AM380" s="377" t="str">
        <f>IF($C$178="MALVERN 25",'MALVERN 25'!$C$143," ")</f>
        <v xml:space="preserve"> </v>
      </c>
      <c r="AN380" s="378" t="str">
        <f>IF($C$178="MALVERN 25",'MALVERN 25'!$D$143," ")</f>
        <v xml:space="preserve"> </v>
      </c>
      <c r="AO380" s="380"/>
      <c r="AP380" s="381"/>
      <c r="AQ380" s="380"/>
      <c r="AR380" s="381"/>
    </row>
    <row r="381" spans="2:44" s="390" customFormat="1" ht="18" customHeight="1">
      <c r="B381" s="475">
        <v>0.17499999999999999</v>
      </c>
      <c r="C381" s="472" t="s">
        <v>441</v>
      </c>
      <c r="D381" s="473"/>
      <c r="E381" s="474">
        <f>SUM(D362*0.175)</f>
        <v>1076.25</v>
      </c>
      <c r="F381" s="465"/>
      <c r="Q381" s="377" t="str">
        <f>IF($C$178="MALVERN 25",'MALVERN 25'!$C$12," ")</f>
        <v xml:space="preserve"> </v>
      </c>
      <c r="R381" s="378" t="str">
        <f>IF($C$178="MALVERN 25",'MALVERN 25'!$D$12," ")</f>
        <v xml:space="preserve"> </v>
      </c>
      <c r="S381" s="380"/>
      <c r="T381" s="381"/>
      <c r="U381" s="377" t="str">
        <f>IF($C$178="MALVERN 25",'MALVERN 25'!$C$40," ")</f>
        <v xml:space="preserve"> </v>
      </c>
      <c r="V381" s="378" t="str">
        <f>IF($C$178="MALVERN 25",'MALVERN 25'!$D$40," ")</f>
        <v xml:space="preserve"> </v>
      </c>
      <c r="W381" s="380"/>
      <c r="X381" s="381"/>
      <c r="Y381" s="380"/>
      <c r="Z381" s="381"/>
      <c r="AA381" s="380"/>
      <c r="AB381" s="381"/>
      <c r="AC381" s="382"/>
      <c r="AD381" s="382"/>
      <c r="AE381" s="382"/>
      <c r="AF381" s="382"/>
      <c r="AG381" s="501" t="str">
        <f>IF($C$178="MALVERN 25",'MALVERN 25'!$C$92," ")</f>
        <v xml:space="preserve"> </v>
      </c>
      <c r="AH381" s="378" t="str">
        <f>IF($C$178="MALVERN 25",'MALVERN 25'!$D$92," ")</f>
        <v xml:space="preserve"> </v>
      </c>
      <c r="AI381" s="501" t="str">
        <f>IF($C$178="MALVERN 25",'MALVERN 25'!$C$112," ")</f>
        <v xml:space="preserve"> </v>
      </c>
      <c r="AJ381" s="378" t="str">
        <f>IF($C$178="MALVERN 25",'MALVERN 25'!$D$112," ")</f>
        <v xml:space="preserve"> </v>
      </c>
      <c r="AK381" s="377" t="str">
        <f>IF($C$178="MALVERN 25",'MALVERN 25'!$C$170," ")</f>
        <v xml:space="preserve"> </v>
      </c>
      <c r="AL381" s="378" t="str">
        <f>IF($C$178="MALVERN 25",'MALVERN 25'!$D$170," ")</f>
        <v xml:space="preserve"> </v>
      </c>
      <c r="AM381" s="377" t="str">
        <f>IF($C$178="MALVERN 25",'MALVERN 25'!$C$144," ")</f>
        <v xml:space="preserve"> </v>
      </c>
      <c r="AN381" s="378" t="str">
        <f>IF($C$178="MALVERN 25",'MALVERN 25'!$D$144," ")</f>
        <v xml:space="preserve"> </v>
      </c>
      <c r="AO381" s="380"/>
      <c r="AP381" s="381"/>
      <c r="AQ381" s="380"/>
      <c r="AR381" s="381"/>
    </row>
    <row r="382" spans="2:44" s="390" customFormat="1" ht="18" customHeight="1">
      <c r="B382" s="471">
        <v>0.1</v>
      </c>
      <c r="C382" s="472" t="s">
        <v>1061</v>
      </c>
      <c r="D382" s="473"/>
      <c r="E382" s="474">
        <f>SUM(D362*0.1)</f>
        <v>615</v>
      </c>
      <c r="F382" s="465"/>
      <c r="Q382" s="377" t="str">
        <f>IF($C$178="MALVERN 25",'MALVERN 25'!$C$13," ")</f>
        <v xml:space="preserve"> </v>
      </c>
      <c r="R382" s="378" t="str">
        <f>IF($C$178="MALVERN 25",'MALVERN 25'!$D$13," ")</f>
        <v xml:space="preserve"> </v>
      </c>
      <c r="S382" s="382"/>
      <c r="T382" s="382"/>
      <c r="U382" s="377" t="str">
        <f>IF($C$178="MALVERN 25",'MALVERN 25'!$C$41," ")</f>
        <v xml:space="preserve"> </v>
      </c>
      <c r="V382" s="378" t="str">
        <f>IF($C$178="MALVERN 25",'MALVERN 25'!$D$41," ")</f>
        <v xml:space="preserve"> </v>
      </c>
      <c r="W382" s="380"/>
      <c r="X382" s="381"/>
      <c r="Y382" s="380"/>
      <c r="Z382" s="381"/>
      <c r="AA382" s="380"/>
      <c r="AB382" s="381"/>
      <c r="AC382" s="382"/>
      <c r="AD382" s="382"/>
      <c r="AE382" s="382"/>
      <c r="AF382" s="382"/>
      <c r="AG382" s="501" t="str">
        <f>IF($C$178="MALVERN 25",'MALVERN 25'!$C$93," ")</f>
        <v xml:space="preserve"> </v>
      </c>
      <c r="AH382" s="378" t="str">
        <f>IF($C$178="MALVERN 25",'MALVERN 25'!$D$93," ")</f>
        <v xml:space="preserve"> </v>
      </c>
      <c r="AI382" s="501" t="str">
        <f>IF($C$178="MALVERN 25",'MALVERN 25'!$C$113," ")</f>
        <v xml:space="preserve"> </v>
      </c>
      <c r="AJ382" s="378" t="str">
        <f>IF($C$178="MALVERN 25",'MALVERN 25'!$D$113," ")</f>
        <v xml:space="preserve"> </v>
      </c>
      <c r="AK382" s="377" t="str">
        <f>IF($C$178="MALVERN 25",'MALVERN 25'!$C$171," ")</f>
        <v xml:space="preserve"> </v>
      </c>
      <c r="AL382" s="378" t="str">
        <f>IF($C$178="MALVERN 25",'MALVERN 25'!$D$171," ")</f>
        <v xml:space="preserve"> </v>
      </c>
      <c r="AM382" s="377" t="str">
        <f>IF($C$178="MALVERN 25",'MALVERN 25'!$C$145," ")</f>
        <v xml:space="preserve"> </v>
      </c>
      <c r="AN382" s="378" t="str">
        <f>IF($C$178="MALVERN 25",'MALVERN 25'!$D$145," ")</f>
        <v xml:space="preserve"> </v>
      </c>
      <c r="AO382" s="380"/>
      <c r="AP382" s="381"/>
      <c r="AQ382" s="380"/>
      <c r="AR382" s="381"/>
    </row>
    <row r="383" spans="2:44" s="390" customFormat="1" ht="18" customHeight="1">
      <c r="B383" s="471">
        <v>0.1</v>
      </c>
      <c r="C383" s="472" t="s">
        <v>1062</v>
      </c>
      <c r="D383" s="473"/>
      <c r="E383" s="474">
        <f>SUM(D362*0.1)</f>
        <v>615</v>
      </c>
      <c r="F383" s="465"/>
      <c r="Q383" s="377" t="str">
        <f>IF($C$178="MALVERN 25",'MALVERN 25'!$C$14," ")</f>
        <v xml:space="preserve"> </v>
      </c>
      <c r="R383" s="378" t="str">
        <f>IF($C$178="MALVERN 25",'MALVERN 25'!$D$14," ")</f>
        <v xml:space="preserve"> </v>
      </c>
      <c r="S383" s="382"/>
      <c r="T383" s="382"/>
      <c r="U383" s="377" t="str">
        <f>IF($C$178="MALVERN 25",'MALVERN 25'!$C$42," ")</f>
        <v xml:space="preserve"> </v>
      </c>
      <c r="V383" s="378" t="str">
        <f>IF($C$178="MALVERN 25",'MALVERN 25'!$D$42," ")</f>
        <v xml:space="preserve"> </v>
      </c>
      <c r="W383" s="380"/>
      <c r="X383" s="381"/>
      <c r="Y383" s="380"/>
      <c r="Z383" s="381"/>
      <c r="AA383" s="380"/>
      <c r="AB383" s="381"/>
      <c r="AC383" s="382"/>
      <c r="AD383" s="382"/>
      <c r="AE383" s="382"/>
      <c r="AF383" s="382"/>
      <c r="AG383" s="501" t="str">
        <f>IF($C$178="MALVERN 25",'MALVERN 25'!$C$94," ")</f>
        <v xml:space="preserve"> </v>
      </c>
      <c r="AH383" s="378" t="str">
        <f>IF($C$178="MALVERN 25",'MALVERN 25'!$D$94," ")</f>
        <v xml:space="preserve"> </v>
      </c>
      <c r="AI383" s="501" t="str">
        <f>IF($C$178="MALVERN 25",'MALVERN 25'!$C$114," ")</f>
        <v xml:space="preserve"> </v>
      </c>
      <c r="AJ383" s="378" t="str">
        <f>IF($C$178="MALVERN 25",'MALVERN 25'!$D$114," ")</f>
        <v xml:space="preserve"> </v>
      </c>
      <c r="AK383" s="377" t="str">
        <f>IF($C$178="MALVERN 25",'MALVERN 25'!$C$172," ")</f>
        <v xml:space="preserve"> </v>
      </c>
      <c r="AL383" s="378" t="str">
        <f>IF($C$178="MALVERN 25",'MALVERN 25'!$D$172," ")</f>
        <v xml:space="preserve"> </v>
      </c>
      <c r="AM383" s="377" t="str">
        <f>IF($C$178="MALVERN 25",'MALVERN 25'!$C$146," ")</f>
        <v xml:space="preserve"> </v>
      </c>
      <c r="AN383" s="378" t="str">
        <f>IF($C$178="MALVERN 25",'MALVERN 25'!$D$146," ")</f>
        <v xml:space="preserve"> </v>
      </c>
      <c r="AO383" s="380"/>
      <c r="AP383" s="381"/>
      <c r="AQ383" s="380"/>
      <c r="AR383" s="381"/>
    </row>
    <row r="384" spans="2:44" s="390" customFormat="1" ht="18" customHeight="1">
      <c r="B384" s="471">
        <v>0.1</v>
      </c>
      <c r="C384" s="472" t="s">
        <v>443</v>
      </c>
      <c r="D384" s="476"/>
      <c r="E384" s="474">
        <f>D362*0.1</f>
        <v>615</v>
      </c>
      <c r="F384" s="465"/>
      <c r="Q384" s="377" t="str">
        <f>IF($C$178="MALVERN 25",'MALVERN 25'!$C$15," ")</f>
        <v xml:space="preserve"> </v>
      </c>
      <c r="R384" s="378" t="str">
        <f>IF($C$178="MALVERN 25",'MALVERN 25'!$D$15," ")</f>
        <v xml:space="preserve"> </v>
      </c>
      <c r="S384" s="382"/>
      <c r="T384" s="382"/>
      <c r="U384" s="380"/>
      <c r="V384" s="381"/>
      <c r="W384" s="380"/>
      <c r="X384" s="381"/>
      <c r="Y384" s="380"/>
      <c r="Z384" s="381"/>
      <c r="AA384" s="380"/>
      <c r="AB384" s="381"/>
      <c r="AC384" s="382"/>
      <c r="AD384" s="382"/>
      <c r="AE384" s="382"/>
      <c r="AF384" s="382"/>
      <c r="AG384" s="501" t="str">
        <f>IF($C$178="MALVERN 25",'MALVERN 25'!$C$95," ")</f>
        <v xml:space="preserve"> </v>
      </c>
      <c r="AH384" s="378" t="str">
        <f>IF($C$178="MALVERN 25",'MALVERN 25'!$D$95," ")</f>
        <v xml:space="preserve"> </v>
      </c>
      <c r="AI384" s="501" t="str">
        <f>IF($C$178="MALVERN 25",'MALVERN 25'!$C$115," ")</f>
        <v xml:space="preserve"> </v>
      </c>
      <c r="AJ384" s="378" t="str">
        <f>IF($C$178="MALVERN 25",'MALVERN 25'!$D$115," ")</f>
        <v xml:space="preserve"> </v>
      </c>
      <c r="AK384" s="377" t="str">
        <f>IF($C$178="MALVERN 25",'MALVERN 25'!$C$173," ")</f>
        <v xml:space="preserve"> </v>
      </c>
      <c r="AL384" s="378" t="str">
        <f>IF($C$178="MALVERN 25",'MALVERN 25'!$D$173," ")</f>
        <v xml:space="preserve"> </v>
      </c>
      <c r="AM384" s="377" t="str">
        <f>IF($C$178="MALVERN 25",'MALVERN 25'!$C$147," ")</f>
        <v xml:space="preserve"> </v>
      </c>
      <c r="AN384" s="378" t="str">
        <f>IF($C$178="MALVERN 25",'MALVERN 25'!$D$147," ")</f>
        <v xml:space="preserve"> </v>
      </c>
      <c r="AO384" s="380"/>
      <c r="AP384" s="381"/>
      <c r="AQ384" s="380"/>
      <c r="AR384" s="381"/>
    </row>
    <row r="385" spans="2:44" s="390" customFormat="1" ht="18" customHeight="1">
      <c r="B385" s="466"/>
      <c r="C385" s="392"/>
      <c r="D385" s="464"/>
      <c r="E385" s="477"/>
      <c r="F385" s="465"/>
      <c r="Q385" s="377" t="str">
        <f>IF($C$178="MALVERN 25",'MALVERN 25'!$C$16," ")</f>
        <v xml:space="preserve"> </v>
      </c>
      <c r="R385" s="378" t="str">
        <f>IF($C$178="MALVERN 25",'MALVERN 25'!$D$16," ")</f>
        <v xml:space="preserve"> </v>
      </c>
      <c r="S385" s="382"/>
      <c r="T385" s="382"/>
      <c r="U385" s="382"/>
      <c r="V385" s="382"/>
      <c r="W385" s="382"/>
      <c r="X385" s="382"/>
      <c r="Y385" s="382"/>
      <c r="Z385" s="382"/>
      <c r="AA385" s="382"/>
      <c r="AB385" s="382"/>
      <c r="AC385" s="382"/>
      <c r="AD385" s="382"/>
      <c r="AE385" s="382"/>
      <c r="AF385" s="382"/>
      <c r="AG385" s="501" t="str">
        <f>IF($C$178="MALVERN 25",'MALVERN 25'!$C$96," ")</f>
        <v xml:space="preserve"> </v>
      </c>
      <c r="AH385" s="378" t="str">
        <f>IF($C$178="MALVERN 25",'MALVERN 25'!$D$96," ")</f>
        <v xml:space="preserve"> </v>
      </c>
      <c r="AI385" s="501" t="str">
        <f>IF($C$178="MALVERN 25",'MALVERN 25'!$C$116," ")</f>
        <v xml:space="preserve"> </v>
      </c>
      <c r="AJ385" s="378" t="str">
        <f>IF($C$178="MALVERN 25",'MALVERN 25'!$D$116," ")</f>
        <v xml:space="preserve"> </v>
      </c>
      <c r="AK385" s="377" t="str">
        <f>IF($C$178="MALVERN 25",'MALVERN 25'!$C$174," ")</f>
        <v xml:space="preserve"> </v>
      </c>
      <c r="AL385" s="378" t="str">
        <f>IF($C$178="MALVERN 25",'MALVERN 25'!$D$174," ")</f>
        <v xml:space="preserve"> </v>
      </c>
      <c r="AM385" s="377" t="str">
        <f>IF($C$178="MALVERN 25",'MALVERN 25'!$C$148," ")</f>
        <v xml:space="preserve"> </v>
      </c>
      <c r="AN385" s="378" t="str">
        <f>IF($C$178="MALVERN 25",'MALVERN 25'!$D$148," ")</f>
        <v xml:space="preserve"> </v>
      </c>
      <c r="AO385" s="380"/>
      <c r="AP385" s="381"/>
      <c r="AQ385" s="380"/>
      <c r="AR385" s="381"/>
    </row>
    <row r="386" spans="2:44" s="390" customFormat="1" ht="18" customHeight="1">
      <c r="B386" s="406"/>
      <c r="C386" s="463" t="s">
        <v>444</v>
      </c>
      <c r="D386" s="478"/>
      <c r="F386" s="465"/>
      <c r="Q386" s="377" t="str">
        <f>IF($C$178="MALVERN 25",'MALVERN 25'!$C$17," ")</f>
        <v xml:space="preserve"> </v>
      </c>
      <c r="R386" s="378" t="str">
        <f>IF($C$178="MALVERN 25",'MALVERN 25'!$D$17," ")</f>
        <v xml:space="preserve"> </v>
      </c>
      <c r="S386" s="382"/>
      <c r="T386" s="382"/>
      <c r="U386" s="382"/>
      <c r="V386" s="382"/>
      <c r="W386" s="382"/>
      <c r="X386" s="382"/>
      <c r="Y386" s="382"/>
      <c r="Z386" s="382"/>
      <c r="AA386" s="382"/>
      <c r="AB386" s="382"/>
      <c r="AC386" s="382"/>
      <c r="AD386" s="382"/>
      <c r="AE386" s="382"/>
      <c r="AF386" s="382"/>
      <c r="AG386" s="501" t="str">
        <f>IF($C$178="MALVERN 25",'MALVERN 25'!$C$97," ")</f>
        <v xml:space="preserve"> </v>
      </c>
      <c r="AH386" s="378" t="str">
        <f>IF($C$178="MALVERN 25",'MALVERN 25'!$D$97," ")</f>
        <v xml:space="preserve"> </v>
      </c>
      <c r="AI386" s="501" t="str">
        <f>IF($C$178="MALVERN 25",'MALVERN 25'!$C$117," ")</f>
        <v xml:space="preserve"> </v>
      </c>
      <c r="AJ386" s="378" t="str">
        <f>IF($C$178="MALVERN 25",'MALVERN 25'!$D$117," ")</f>
        <v xml:space="preserve"> </v>
      </c>
      <c r="AK386" s="377" t="str">
        <f>IF($C$178="MALVERN 25",'MALVERN 25'!$C$175," ")</f>
        <v xml:space="preserve"> </v>
      </c>
      <c r="AL386" s="378" t="str">
        <f>IF($C$178="MALVERN 25",'MALVERN 25'!$D$175," ")</f>
        <v xml:space="preserve"> </v>
      </c>
      <c r="AM386" s="377" t="str">
        <f>IF($C$178="MALVERN 25",'MALVERN 25'!$C$149," ")</f>
        <v xml:space="preserve"> </v>
      </c>
      <c r="AN386" s="378" t="str">
        <f>IF($C$178="MALVERN 25",'MALVERN 25'!$D$149," ")</f>
        <v xml:space="preserve"> </v>
      </c>
      <c r="AO386" s="380"/>
      <c r="AP386" s="381"/>
      <c r="AQ386" s="380"/>
      <c r="AR386" s="381"/>
    </row>
    <row r="387" spans="2:44" s="390" customFormat="1" ht="18" customHeight="1">
      <c r="B387" s="406"/>
      <c r="C387" s="392" t="s">
        <v>445</v>
      </c>
      <c r="D387" s="464"/>
      <c r="E387" s="392">
        <f>SUM(D362)/1.1</f>
        <v>5590.9090909090901</v>
      </c>
      <c r="F387" s="465"/>
      <c r="Q387" s="377" t="str">
        <f>IF($C$178="MALVERN 25",'MALVERN 25'!$C$18," ")</f>
        <v xml:space="preserve"> </v>
      </c>
      <c r="R387" s="378" t="str">
        <f>IF($C$178="MALVERN 25",'MALVERN 25'!$D$18," ")</f>
        <v xml:space="preserve"> </v>
      </c>
      <c r="S387" s="382"/>
      <c r="T387" s="382"/>
      <c r="U387" s="382"/>
      <c r="V387" s="382"/>
      <c r="W387" s="382"/>
      <c r="X387" s="382"/>
      <c r="Y387" s="382"/>
      <c r="Z387" s="382"/>
      <c r="AA387" s="382"/>
      <c r="AB387" s="382"/>
      <c r="AC387" s="382"/>
      <c r="AD387" s="382"/>
      <c r="AE387" s="382"/>
      <c r="AF387" s="382"/>
      <c r="AG387" s="501" t="str">
        <f>IF($C$178="MALVERN 25",'MALVERN 25'!$C$98," ")</f>
        <v xml:space="preserve"> </v>
      </c>
      <c r="AH387" s="378" t="str">
        <f>IF($C$178="MALVERN 25",'MALVERN 25'!$D$98," ")</f>
        <v xml:space="preserve"> </v>
      </c>
      <c r="AI387" s="501" t="str">
        <f>IF($C$178="MALVERN 25",'MALVERN 25'!$C$118," ")</f>
        <v xml:space="preserve"> </v>
      </c>
      <c r="AJ387" s="378" t="str">
        <f>IF($C$178="MALVERN 25",'MALVERN 25'!$D$118," ")</f>
        <v xml:space="preserve"> </v>
      </c>
      <c r="AK387" s="377" t="str">
        <f>IF($C$178="MALVERN 25",'MALVERN 25'!$C$176," ")</f>
        <v xml:space="preserve"> </v>
      </c>
      <c r="AL387" s="378" t="str">
        <f>IF($C$178="MALVERN 25",'MALVERN 25'!$D$176," ")</f>
        <v xml:space="preserve"> </v>
      </c>
      <c r="AM387" s="380"/>
      <c r="AN387" s="381"/>
      <c r="AO387" s="380"/>
      <c r="AP387" s="381"/>
      <c r="AQ387" s="380"/>
      <c r="AR387" s="381"/>
    </row>
    <row r="388" spans="2:44" s="390" customFormat="1" ht="18" customHeight="1">
      <c r="B388" s="406"/>
      <c r="C388" s="392" t="s">
        <v>446</v>
      </c>
      <c r="D388" s="464"/>
      <c r="E388" s="392">
        <f>SUM(D362-E387)</f>
        <v>559.09090909090992</v>
      </c>
      <c r="F388" s="465"/>
      <c r="Q388" s="377" t="str">
        <f>IF($C$178="MALVERN 25",'MALVERN 25'!$C$19," ")</f>
        <v xml:space="preserve"> </v>
      </c>
      <c r="R388" s="378" t="str">
        <f>IF($C$178="MALVERN 25",'MALVERN 25'!$D$19," ")</f>
        <v xml:space="preserve"> </v>
      </c>
      <c r="S388" s="382"/>
      <c r="T388" s="382"/>
      <c r="U388" s="382"/>
      <c r="V388" s="382"/>
      <c r="W388" s="382"/>
      <c r="X388" s="382"/>
      <c r="Y388" s="382"/>
      <c r="Z388" s="382"/>
      <c r="AA388" s="382"/>
      <c r="AB388" s="382"/>
      <c r="AC388" s="382"/>
      <c r="AD388" s="382"/>
      <c r="AE388" s="382"/>
      <c r="AF388" s="382"/>
      <c r="AG388" s="501" t="str">
        <f>IF($C$178="MALVERN 25",'MALVERN 25'!$C$99," ")</f>
        <v xml:space="preserve"> </v>
      </c>
      <c r="AH388" s="378" t="str">
        <f>IF($C$178="MALVERN 25",'MALVERN 25'!$D$99," ")</f>
        <v xml:space="preserve"> </v>
      </c>
      <c r="AI388" s="501" t="str">
        <f>IF($C$178="MALVERN 25",'MALVERN 25'!$C$119," ")</f>
        <v xml:space="preserve"> </v>
      </c>
      <c r="AJ388" s="378" t="str">
        <f>IF($C$178="MALVERN 25",'MALVERN 25'!$D$119," ")</f>
        <v xml:space="preserve"> </v>
      </c>
      <c r="AK388" s="377" t="str">
        <f>IF($C$178="MALVERN 25",'MALVERN 25'!$C$177," ")</f>
        <v xml:space="preserve"> </v>
      </c>
      <c r="AL388" s="378" t="str">
        <f>IF($C$178="MALVERN 25",'MALVERN 25'!$D$177," ")</f>
        <v xml:space="preserve"> </v>
      </c>
      <c r="AM388" s="380"/>
      <c r="AN388" s="381"/>
      <c r="AO388" s="380"/>
      <c r="AP388" s="381"/>
      <c r="AQ388" s="380"/>
      <c r="AR388" s="381"/>
    </row>
    <row r="389" spans="2:44" s="390" customFormat="1" ht="18" customHeight="1">
      <c r="B389" s="406"/>
      <c r="C389" s="392" t="s">
        <v>447</v>
      </c>
      <c r="D389" s="464"/>
      <c r="E389" s="392">
        <f>SUM(E387:E388)</f>
        <v>6150</v>
      </c>
      <c r="F389" s="465"/>
      <c r="Q389" s="382"/>
      <c r="R389" s="483"/>
      <c r="S389" s="382"/>
      <c r="T389" s="382"/>
      <c r="U389" s="382"/>
      <c r="V389" s="382"/>
      <c r="W389" s="382"/>
      <c r="X389" s="382"/>
      <c r="Y389" s="382"/>
      <c r="Z389" s="382"/>
      <c r="AA389" s="382"/>
      <c r="AB389" s="382"/>
      <c r="AC389" s="382"/>
      <c r="AD389" s="382"/>
      <c r="AE389" s="382"/>
      <c r="AF389" s="382"/>
      <c r="AG389" s="501" t="str">
        <f>IF($C$178="MALVERN 25",'MALVERN 25'!$C$100," ")</f>
        <v xml:space="preserve"> </v>
      </c>
      <c r="AH389" s="378" t="str">
        <f>IF($C$178="MALVERN 25",'MALVERN 25'!$D$100," ")</f>
        <v xml:space="preserve"> </v>
      </c>
      <c r="AI389" s="501" t="str">
        <f>IF($C$178="MALVERN 25",'MALVERN 25'!$C$120," ")</f>
        <v xml:space="preserve"> </v>
      </c>
      <c r="AJ389" s="378" t="str">
        <f>IF($C$178="MALVERN 25",'MALVERN 25'!$D$120," ")</f>
        <v xml:space="preserve"> </v>
      </c>
      <c r="AK389" s="377" t="str">
        <f>IF($C$178="MALVERN 25",'MALVERN 25'!$C$178," ")</f>
        <v xml:space="preserve"> </v>
      </c>
      <c r="AL389" s="378" t="str">
        <f>IF($C$178="MALVERN 25",'MALVERN 25'!$D$178," ")</f>
        <v xml:space="preserve"> </v>
      </c>
      <c r="AM389" s="380"/>
      <c r="AN389" s="381"/>
      <c r="AO389" s="380"/>
      <c r="AP389" s="381"/>
      <c r="AQ389" s="380"/>
      <c r="AR389" s="381"/>
    </row>
    <row r="390" spans="2:44" s="390" customFormat="1" ht="18" customHeight="1">
      <c r="B390" s="406"/>
      <c r="D390" s="478"/>
      <c r="F390" s="465"/>
      <c r="Q390" s="382"/>
      <c r="R390" s="483"/>
      <c r="S390" s="382"/>
      <c r="T390" s="382"/>
      <c r="U390" s="382"/>
      <c r="V390" s="382"/>
      <c r="W390" s="382"/>
      <c r="X390" s="382"/>
      <c r="Y390" s="382"/>
      <c r="Z390" s="382"/>
      <c r="AA390" s="382"/>
      <c r="AB390" s="382"/>
      <c r="AC390" s="382"/>
      <c r="AD390" s="382"/>
      <c r="AE390" s="382"/>
      <c r="AF390" s="382"/>
      <c r="AG390" s="501" t="str">
        <f>IF($C$178="MALVERN 25",'MALVERN 25'!$C$101," ")</f>
        <v xml:space="preserve"> </v>
      </c>
      <c r="AH390" s="378" t="str">
        <f>IF($C$178="MALVERN 25",'MALVERN 25'!$D$101," ")</f>
        <v xml:space="preserve"> </v>
      </c>
      <c r="AI390" s="501" t="str">
        <f>IF($C$178="MALVERN 25",'MALVERN 25'!$C$121," ")</f>
        <v xml:space="preserve"> </v>
      </c>
      <c r="AJ390" s="378" t="str">
        <f>IF($C$178="MALVERN 25",'MALVERN 25'!$D$121," ")</f>
        <v xml:space="preserve"> </v>
      </c>
      <c r="AK390" s="377" t="str">
        <f>IF($C$178="MALVERN 25",'MALVERN 25'!$C$179," ")</f>
        <v xml:space="preserve"> </v>
      </c>
      <c r="AL390" s="378" t="str">
        <f>IF($C$178="MALVERN 25",'MALVERN 25'!$D$179," ")</f>
        <v xml:space="preserve"> </v>
      </c>
      <c r="AM390" s="380"/>
      <c r="AN390" s="381"/>
      <c r="AO390" s="380"/>
      <c r="AP390" s="381"/>
      <c r="AQ390" s="380"/>
      <c r="AR390" s="381"/>
    </row>
    <row r="391" spans="2:44" s="390" customFormat="1" ht="18" customHeight="1">
      <c r="B391" s="406"/>
      <c r="D391" s="478"/>
      <c r="F391" s="465"/>
      <c r="Q391" s="382"/>
      <c r="R391" s="483"/>
      <c r="S391" s="382"/>
      <c r="T391" s="382"/>
      <c r="U391" s="382"/>
      <c r="V391" s="382"/>
      <c r="W391" s="382"/>
      <c r="X391" s="382"/>
      <c r="Y391" s="382"/>
      <c r="Z391" s="382"/>
      <c r="AA391" s="382"/>
      <c r="AB391" s="382"/>
      <c r="AC391" s="382"/>
      <c r="AD391" s="382"/>
      <c r="AE391" s="382"/>
      <c r="AF391" s="382"/>
      <c r="AG391" s="373"/>
      <c r="AH391" s="382"/>
      <c r="AI391" s="501" t="str">
        <f>IF($C$178="MALVERN 25",'MALVERN 25'!$C$122," ")</f>
        <v xml:space="preserve"> </v>
      </c>
      <c r="AJ391" s="378" t="str">
        <f>IF($C$178="MALVERN 25",'MALVERN 25'!$D$122," ")</f>
        <v xml:space="preserve"> </v>
      </c>
      <c r="AK391" s="377" t="str">
        <f>IF($C$178="MALVERN 25",'MALVERN 25'!$C$180," ")</f>
        <v xml:space="preserve"> </v>
      </c>
      <c r="AL391" s="378" t="str">
        <f>IF($C$178="MALVERN 25",'MALVERN 25'!$D$180," ")</f>
        <v xml:space="preserve"> </v>
      </c>
      <c r="AM391" s="380"/>
      <c r="AN391" s="381"/>
      <c r="AO391" s="380"/>
      <c r="AP391" s="381"/>
      <c r="AQ391" s="380"/>
      <c r="AR391" s="381"/>
    </row>
    <row r="392" spans="2:44" s="390" customFormat="1" ht="18" customHeight="1">
      <c r="B392" s="406"/>
      <c r="C392" s="463"/>
      <c r="D392" s="478"/>
      <c r="F392" s="465"/>
      <c r="Q392" s="382"/>
      <c r="R392" s="483"/>
      <c r="S392" s="382"/>
      <c r="T392" s="382"/>
      <c r="U392" s="382"/>
      <c r="V392" s="382"/>
      <c r="W392" s="382"/>
      <c r="X392" s="382"/>
      <c r="Y392" s="382"/>
      <c r="Z392" s="382"/>
      <c r="AA392" s="382"/>
      <c r="AB392" s="382"/>
      <c r="AC392" s="382"/>
      <c r="AD392" s="382"/>
      <c r="AE392" s="382"/>
      <c r="AF392" s="382"/>
      <c r="AG392" s="398"/>
      <c r="AH392" s="382"/>
      <c r="AI392" s="501" t="str">
        <f>IF($C$178="MALVERN 25",'MALVERN 25'!$C$123," ")</f>
        <v xml:space="preserve"> </v>
      </c>
      <c r="AJ392" s="378" t="str">
        <f>IF($C$178="MALVERN 25",'MALVERN 25'!$D$123," ")</f>
        <v xml:space="preserve"> </v>
      </c>
      <c r="AM392" s="380"/>
      <c r="AN392" s="381"/>
      <c r="AO392" s="380"/>
      <c r="AP392" s="381"/>
      <c r="AQ392" s="380"/>
      <c r="AR392" s="381"/>
    </row>
    <row r="393" spans="2:44" s="390" customFormat="1" ht="18" customHeight="1">
      <c r="B393" s="406"/>
      <c r="C393" s="392"/>
      <c r="D393" s="464"/>
      <c r="E393" s="392"/>
      <c r="F393" s="465"/>
      <c r="Q393" s="382"/>
      <c r="R393" s="483"/>
      <c r="S393" s="382"/>
      <c r="T393" s="382"/>
      <c r="U393" s="382"/>
      <c r="V393" s="382"/>
      <c r="W393" s="382"/>
      <c r="X393" s="382"/>
      <c r="Y393" s="382"/>
      <c r="Z393" s="382"/>
      <c r="AA393" s="382"/>
      <c r="AB393" s="382"/>
      <c r="AC393" s="382"/>
      <c r="AD393" s="382"/>
      <c r="AE393" s="382"/>
      <c r="AF393" s="382"/>
      <c r="AG393" s="398"/>
      <c r="AH393" s="382"/>
      <c r="AI393" s="501" t="str">
        <f>IF($C$178="MALVERN 25",'MALVERN 25'!$C$124," ")</f>
        <v xml:space="preserve"> </v>
      </c>
      <c r="AJ393" s="378" t="str">
        <f>IF($C$178="MALVERN 25",'MALVERN 25'!$D$124," ")</f>
        <v xml:space="preserve"> </v>
      </c>
      <c r="AM393" s="380"/>
      <c r="AN393" s="381"/>
      <c r="AO393" s="380"/>
      <c r="AP393" s="381"/>
      <c r="AQ393" s="380"/>
      <c r="AR393" s="381"/>
    </row>
    <row r="394" spans="2:44" s="390" customFormat="1" ht="18" customHeight="1">
      <c r="B394" s="406"/>
      <c r="C394" s="392"/>
      <c r="D394" s="464"/>
      <c r="E394" s="392"/>
      <c r="F394" s="465"/>
      <c r="Q394" s="382"/>
      <c r="R394" s="483"/>
      <c r="S394" s="382"/>
      <c r="T394" s="382"/>
      <c r="U394" s="382"/>
      <c r="V394" s="382"/>
      <c r="W394" s="382"/>
      <c r="X394" s="382"/>
      <c r="Y394" s="382"/>
      <c r="Z394" s="382"/>
      <c r="AA394" s="382"/>
      <c r="AB394" s="382"/>
      <c r="AC394" s="382"/>
      <c r="AD394" s="382"/>
      <c r="AE394" s="382"/>
      <c r="AF394" s="382"/>
      <c r="AG394" s="398"/>
      <c r="AH394" s="382"/>
      <c r="AI394" s="501" t="str">
        <f>IF($C$178="MALVERN 25",'MALVERN 25'!$C$125," ")</f>
        <v xml:space="preserve"> </v>
      </c>
      <c r="AJ394" s="378" t="str">
        <f>IF($C$178="MALVERN 25",'MALVERN 25'!$D$125," ")</f>
        <v xml:space="preserve"> </v>
      </c>
      <c r="AK394" s="380"/>
      <c r="AL394" s="381"/>
      <c r="AM394" s="380"/>
      <c r="AN394" s="381"/>
      <c r="AO394" s="380"/>
      <c r="AP394" s="381"/>
      <c r="AQ394" s="380"/>
      <c r="AR394" s="381"/>
    </row>
    <row r="395" spans="2:44" s="390" customFormat="1" ht="18" customHeight="1">
      <c r="B395" s="462"/>
      <c r="C395" s="373"/>
      <c r="D395" s="410"/>
      <c r="E395" s="373"/>
      <c r="F395" s="420"/>
      <c r="Q395" s="382"/>
      <c r="R395" s="483"/>
      <c r="S395" s="382"/>
      <c r="T395" s="382"/>
      <c r="U395" s="382"/>
      <c r="V395" s="382"/>
      <c r="W395" s="382"/>
      <c r="X395" s="382"/>
      <c r="Y395" s="382"/>
      <c r="Z395" s="382"/>
      <c r="AA395" s="382"/>
      <c r="AB395" s="382"/>
      <c r="AC395" s="382"/>
      <c r="AD395" s="382"/>
      <c r="AE395" s="382"/>
      <c r="AF395" s="382"/>
      <c r="AG395" s="398"/>
      <c r="AH395" s="382"/>
      <c r="AI395" s="501" t="str">
        <f>IF($C$178="MALVERN 25",'MALVERN 25'!$C$126," ")</f>
        <v xml:space="preserve"> </v>
      </c>
      <c r="AJ395" s="378" t="str">
        <f>IF($C$178="MALVERN 25",'MALVERN 25'!$D$126," ")</f>
        <v xml:space="preserve"> </v>
      </c>
      <c r="AK395" s="380"/>
      <c r="AL395" s="381"/>
      <c r="AM395" s="380"/>
      <c r="AN395" s="381"/>
      <c r="AO395" s="380"/>
      <c r="AP395" s="381"/>
      <c r="AQ395" s="380"/>
      <c r="AR395" s="381"/>
    </row>
    <row r="396" spans="2:44" s="390" customFormat="1" ht="18" customHeight="1">
      <c r="B396" s="462"/>
      <c r="C396" s="373"/>
      <c r="D396" s="410"/>
      <c r="E396" s="373"/>
      <c r="F396" s="420"/>
      <c r="Q396" s="382"/>
      <c r="R396" s="483"/>
      <c r="S396" s="382"/>
      <c r="T396" s="382"/>
      <c r="U396" s="382"/>
      <c r="V396" s="382"/>
      <c r="W396" s="382"/>
      <c r="X396" s="382"/>
      <c r="Y396" s="382"/>
      <c r="Z396" s="382"/>
      <c r="AA396" s="382"/>
      <c r="AB396" s="382"/>
      <c r="AC396" s="382"/>
      <c r="AD396" s="382"/>
      <c r="AE396" s="382"/>
      <c r="AF396" s="382"/>
      <c r="AG396" s="398"/>
      <c r="AH396" s="382"/>
      <c r="AI396" s="516"/>
      <c r="AJ396" s="381"/>
      <c r="AK396" s="382"/>
      <c r="AL396" s="382"/>
      <c r="AM396" s="382"/>
      <c r="AN396" s="382"/>
      <c r="AO396" s="382"/>
      <c r="AP396" s="382"/>
      <c r="AQ396" s="382"/>
      <c r="AR396" s="382"/>
    </row>
    <row r="397" spans="2:44" s="390" customFormat="1" ht="18" customHeight="1">
      <c r="B397" s="462"/>
      <c r="C397" s="373"/>
      <c r="D397" s="410"/>
      <c r="E397" s="373"/>
      <c r="F397" s="420"/>
      <c r="Q397" s="382"/>
      <c r="R397" s="483"/>
      <c r="S397" s="382"/>
      <c r="T397" s="382"/>
      <c r="U397" s="382"/>
      <c r="V397" s="382"/>
      <c r="W397" s="382"/>
      <c r="X397" s="382"/>
      <c r="Y397" s="382"/>
      <c r="Z397" s="382"/>
      <c r="AA397" s="382"/>
      <c r="AB397" s="382"/>
      <c r="AC397" s="382"/>
      <c r="AD397" s="382"/>
      <c r="AE397" s="382"/>
      <c r="AF397" s="382"/>
      <c r="AG397" s="398"/>
      <c r="AH397" s="382"/>
      <c r="AI397" s="516"/>
      <c r="AJ397" s="381"/>
      <c r="AK397" s="382"/>
      <c r="AL397" s="382"/>
      <c r="AM397" s="382"/>
      <c r="AN397" s="382"/>
      <c r="AO397" s="382"/>
      <c r="AP397" s="382"/>
      <c r="AQ397" s="382"/>
      <c r="AR397" s="382"/>
    </row>
    <row r="398" spans="2:44" s="390" customFormat="1" ht="18" customHeight="1">
      <c r="B398" s="462"/>
      <c r="C398" s="373"/>
      <c r="D398" s="410"/>
      <c r="E398" s="373"/>
      <c r="F398" s="420"/>
      <c r="R398" s="486"/>
    </row>
    <row r="399" spans="2:44" s="390" customFormat="1" ht="18" customHeight="1">
      <c r="B399" s="462"/>
      <c r="C399" s="373"/>
      <c r="D399" s="410"/>
      <c r="E399" s="373"/>
      <c r="F399" s="420"/>
      <c r="R399" s="486"/>
    </row>
    <row r="400" spans="2:44" ht="18" customHeight="1">
      <c r="B400" s="462"/>
      <c r="F400" s="420"/>
    </row>
    <row r="401" spans="2:6" ht="18" customHeight="1">
      <c r="B401" s="462"/>
      <c r="F401" s="420"/>
    </row>
    <row r="402" spans="2:6" ht="18" customHeight="1">
      <c r="B402" s="462"/>
      <c r="F402" s="420"/>
    </row>
    <row r="403" spans="2:6" ht="18" customHeight="1">
      <c r="B403" s="462"/>
      <c r="F403" s="420"/>
    </row>
    <row r="404" spans="2:6" ht="18" customHeight="1" thickBot="1">
      <c r="B404" s="479"/>
      <c r="C404" s="480"/>
      <c r="D404" s="481"/>
      <c r="E404" s="480"/>
      <c r="F404" s="482"/>
    </row>
  </sheetData>
  <sheetProtection insertRows="0" deleteRows="0" selectLockedCells="1"/>
  <mergeCells count="419">
    <mergeCell ref="B305:C305"/>
    <mergeCell ref="B306:C306"/>
    <mergeCell ref="B263:C263"/>
    <mergeCell ref="B264:C264"/>
    <mergeCell ref="B275:C275"/>
    <mergeCell ref="B276:C276"/>
    <mergeCell ref="B256:C256"/>
    <mergeCell ref="B259:C259"/>
    <mergeCell ref="B267:C267"/>
    <mergeCell ref="B268:C268"/>
    <mergeCell ref="B269:C269"/>
    <mergeCell ref="B271:F271"/>
    <mergeCell ref="B272:C272"/>
    <mergeCell ref="B273:C273"/>
    <mergeCell ref="B289:C289"/>
    <mergeCell ref="B301:C301"/>
    <mergeCell ref="B302:C302"/>
    <mergeCell ref="B297:C297"/>
    <mergeCell ref="B298:C298"/>
    <mergeCell ref="B299:C299"/>
    <mergeCell ref="B300:C300"/>
    <mergeCell ref="B245:C245"/>
    <mergeCell ref="B270:C270"/>
    <mergeCell ref="B304:C304"/>
    <mergeCell ref="B229:C229"/>
    <mergeCell ref="B230:C230"/>
    <mergeCell ref="B255:C255"/>
    <mergeCell ref="B246:F246"/>
    <mergeCell ref="B247:C247"/>
    <mergeCell ref="B248:C248"/>
    <mergeCell ref="B251:C251"/>
    <mergeCell ref="B262:C262"/>
    <mergeCell ref="B254:C254"/>
    <mergeCell ref="B244:C244"/>
    <mergeCell ref="B295:C295"/>
    <mergeCell ref="B296:C296"/>
    <mergeCell ref="D68:F68"/>
    <mergeCell ref="B95:C95"/>
    <mergeCell ref="D69:F69"/>
    <mergeCell ref="AI172:AJ172"/>
    <mergeCell ref="AK172:AL172"/>
    <mergeCell ref="AM172:AN172"/>
    <mergeCell ref="AO172:AP172"/>
    <mergeCell ref="B351:C351"/>
    <mergeCell ref="AQ172:AR172"/>
    <mergeCell ref="U172:V172"/>
    <mergeCell ref="B249:C249"/>
    <mergeCell ref="B252:C252"/>
    <mergeCell ref="B217:C217"/>
    <mergeCell ref="B278:C278"/>
    <mergeCell ref="B279:C279"/>
    <mergeCell ref="B280:C280"/>
    <mergeCell ref="B281:C281"/>
    <mergeCell ref="B282:C282"/>
    <mergeCell ref="B283:C283"/>
    <mergeCell ref="B284:C284"/>
    <mergeCell ref="B285:C285"/>
    <mergeCell ref="B286:C286"/>
    <mergeCell ref="B287:C287"/>
    <mergeCell ref="B288:C288"/>
    <mergeCell ref="D78:F78"/>
    <mergeCell ref="B186:C186"/>
    <mergeCell ref="B79:C79"/>
    <mergeCell ref="D79:F79"/>
    <mergeCell ref="B92:C92"/>
    <mergeCell ref="D92:F92"/>
    <mergeCell ref="B83:C83"/>
    <mergeCell ref="B190:C190"/>
    <mergeCell ref="B106:C106"/>
    <mergeCell ref="D106:F106"/>
    <mergeCell ref="B97:C97"/>
    <mergeCell ref="D97:F97"/>
    <mergeCell ref="D98:F98"/>
    <mergeCell ref="B101:C101"/>
    <mergeCell ref="D101:F101"/>
    <mergeCell ref="B102:C102"/>
    <mergeCell ref="D102:F102"/>
    <mergeCell ref="B111:C111"/>
    <mergeCell ref="D111:F111"/>
    <mergeCell ref="B112:C112"/>
    <mergeCell ref="D104:F104"/>
    <mergeCell ref="B105:C105"/>
    <mergeCell ref="D105:F105"/>
    <mergeCell ref="D82:F82"/>
    <mergeCell ref="B364:C364"/>
    <mergeCell ref="B192:C192"/>
    <mergeCell ref="B138:C138"/>
    <mergeCell ref="B348:C348"/>
    <mergeCell ref="B349:C349"/>
    <mergeCell ref="B350:C350"/>
    <mergeCell ref="B257:F257"/>
    <mergeCell ref="B260:C260"/>
    <mergeCell ref="B261:C261"/>
    <mergeCell ref="B266:F266"/>
    <mergeCell ref="B258:F258"/>
    <mergeCell ref="B290:F290"/>
    <mergeCell ref="B291:C291"/>
    <mergeCell ref="B292:C292"/>
    <mergeCell ref="B294:C294"/>
    <mergeCell ref="B274:C274"/>
    <mergeCell ref="B293:C293"/>
    <mergeCell ref="B199:C199"/>
    <mergeCell ref="B208:C208"/>
    <mergeCell ref="B209:C209"/>
    <mergeCell ref="B307:C307"/>
    <mergeCell ref="B308:C308"/>
    <mergeCell ref="B309:C309"/>
    <mergeCell ref="B310:C310"/>
    <mergeCell ref="S172:T172"/>
    <mergeCell ref="B137:C137"/>
    <mergeCell ref="B135:C135"/>
    <mergeCell ref="B134:C134"/>
    <mergeCell ref="B133:C133"/>
    <mergeCell ref="B88:C88"/>
    <mergeCell ref="B100:C100"/>
    <mergeCell ref="D100:F100"/>
    <mergeCell ref="Q172:R172"/>
    <mergeCell ref="D112:F112"/>
    <mergeCell ref="B113:C113"/>
    <mergeCell ref="D113:F113"/>
    <mergeCell ref="B107:C107"/>
    <mergeCell ref="D107:F107"/>
    <mergeCell ref="B108:C108"/>
    <mergeCell ref="D108:F108"/>
    <mergeCell ref="D109:F109"/>
    <mergeCell ref="B110:C110"/>
    <mergeCell ref="D110:F110"/>
    <mergeCell ref="B117:C117"/>
    <mergeCell ref="D117:F117"/>
    <mergeCell ref="B114:C114"/>
    <mergeCell ref="D114:F114"/>
    <mergeCell ref="B115:C115"/>
    <mergeCell ref="D83:F83"/>
    <mergeCell ref="D84:F84"/>
    <mergeCell ref="B96:C96"/>
    <mergeCell ref="D96:F96"/>
    <mergeCell ref="D89:F89"/>
    <mergeCell ref="B90:C90"/>
    <mergeCell ref="D90:F90"/>
    <mergeCell ref="B91:C91"/>
    <mergeCell ref="D91:F91"/>
    <mergeCell ref="B86:C86"/>
    <mergeCell ref="D86:F86"/>
    <mergeCell ref="B84:C84"/>
    <mergeCell ref="B59:C59"/>
    <mergeCell ref="D59:F59"/>
    <mergeCell ref="B69:C69"/>
    <mergeCell ref="B74:C74"/>
    <mergeCell ref="B60:C60"/>
    <mergeCell ref="D60:F60"/>
    <mergeCell ref="D61:F61"/>
    <mergeCell ref="B62:C62"/>
    <mergeCell ref="D62:F62"/>
    <mergeCell ref="D66:F66"/>
    <mergeCell ref="D67:F67"/>
    <mergeCell ref="B63:C63"/>
    <mergeCell ref="D63:F63"/>
    <mergeCell ref="D64:F64"/>
    <mergeCell ref="D65:F65"/>
    <mergeCell ref="B65:C65"/>
    <mergeCell ref="B64:C64"/>
    <mergeCell ref="B66:C66"/>
    <mergeCell ref="B68:C68"/>
    <mergeCell ref="D70:F70"/>
    <mergeCell ref="D71:F71"/>
    <mergeCell ref="B72:C72"/>
    <mergeCell ref="D72:F72"/>
    <mergeCell ref="D73:F73"/>
    <mergeCell ref="C47:F47"/>
    <mergeCell ref="B48:F48"/>
    <mergeCell ref="B49:F49"/>
    <mergeCell ref="B50:F50"/>
    <mergeCell ref="C51:F51"/>
    <mergeCell ref="B57:C57"/>
    <mergeCell ref="D57:F57"/>
    <mergeCell ref="B58:C58"/>
    <mergeCell ref="D58:F58"/>
    <mergeCell ref="D54:F54"/>
    <mergeCell ref="B55:C55"/>
    <mergeCell ref="D55:F55"/>
    <mergeCell ref="B56:C56"/>
    <mergeCell ref="D56:F56"/>
    <mergeCell ref="B53:F53"/>
    <mergeCell ref="D74:F74"/>
    <mergeCell ref="B75:C75"/>
    <mergeCell ref="D75:F75"/>
    <mergeCell ref="B76:C76"/>
    <mergeCell ref="D76:F76"/>
    <mergeCell ref="B70:C70"/>
    <mergeCell ref="B103:C103"/>
    <mergeCell ref="D103:F103"/>
    <mergeCell ref="D95:F95"/>
    <mergeCell ref="D85:F85"/>
    <mergeCell ref="B87:C87"/>
    <mergeCell ref="D87:F87"/>
    <mergeCell ref="D93:F93"/>
    <mergeCell ref="B94:C94"/>
    <mergeCell ref="D94:F94"/>
    <mergeCell ref="B77:C77"/>
    <mergeCell ref="D77:F77"/>
    <mergeCell ref="B80:C80"/>
    <mergeCell ref="D80:F80"/>
    <mergeCell ref="B81:C81"/>
    <mergeCell ref="D81:F81"/>
    <mergeCell ref="B99:C99"/>
    <mergeCell ref="D99:F99"/>
    <mergeCell ref="D88:F88"/>
    <mergeCell ref="D115:F115"/>
    <mergeCell ref="B116:C116"/>
    <mergeCell ref="D116:F116"/>
    <mergeCell ref="B122:C122"/>
    <mergeCell ref="D122:F122"/>
    <mergeCell ref="B123:C123"/>
    <mergeCell ref="D123:F123"/>
    <mergeCell ref="B124:C124"/>
    <mergeCell ref="D124:F124"/>
    <mergeCell ref="D118:F118"/>
    <mergeCell ref="B119:C119"/>
    <mergeCell ref="D119:F119"/>
    <mergeCell ref="B120:C120"/>
    <mergeCell ref="D120:F120"/>
    <mergeCell ref="B121:C121"/>
    <mergeCell ref="D121:F121"/>
    <mergeCell ref="B128:C128"/>
    <mergeCell ref="D128:F128"/>
    <mergeCell ref="D129:F129"/>
    <mergeCell ref="B130:C130"/>
    <mergeCell ref="D130:F130"/>
    <mergeCell ref="D132:F132"/>
    <mergeCell ref="B125:C125"/>
    <mergeCell ref="D125:F125"/>
    <mergeCell ref="B126:C126"/>
    <mergeCell ref="D126:F126"/>
    <mergeCell ref="B127:C127"/>
    <mergeCell ref="D127:F127"/>
    <mergeCell ref="B131:C131"/>
    <mergeCell ref="D131:F131"/>
    <mergeCell ref="D136:F136"/>
    <mergeCell ref="D137:F137"/>
    <mergeCell ref="D138:F138"/>
    <mergeCell ref="D133:F133"/>
    <mergeCell ref="D134:F134"/>
    <mergeCell ref="D135:F135"/>
    <mergeCell ref="B143:C143"/>
    <mergeCell ref="D143:F143"/>
    <mergeCell ref="B144:C144"/>
    <mergeCell ref="D144:F144"/>
    <mergeCell ref="B146:C146"/>
    <mergeCell ref="D146:F146"/>
    <mergeCell ref="B147:C147"/>
    <mergeCell ref="D147:F147"/>
    <mergeCell ref="B148:C148"/>
    <mergeCell ref="D148:F148"/>
    <mergeCell ref="B145:C145"/>
    <mergeCell ref="D145:F145"/>
    <mergeCell ref="B139:C139"/>
    <mergeCell ref="D139:F139"/>
    <mergeCell ref="B140:C140"/>
    <mergeCell ref="D140:F140"/>
    <mergeCell ref="D141:F141"/>
    <mergeCell ref="B142:C142"/>
    <mergeCell ref="D142:F142"/>
    <mergeCell ref="B149:C149"/>
    <mergeCell ref="D149:F149"/>
    <mergeCell ref="B150:C150"/>
    <mergeCell ref="D150:F150"/>
    <mergeCell ref="D151:F151"/>
    <mergeCell ref="B152:C152"/>
    <mergeCell ref="D152:F152"/>
    <mergeCell ref="B158:C158"/>
    <mergeCell ref="D158:F158"/>
    <mergeCell ref="B156:C156"/>
    <mergeCell ref="D156:F156"/>
    <mergeCell ref="B157:C157"/>
    <mergeCell ref="D157:F157"/>
    <mergeCell ref="B163:C163"/>
    <mergeCell ref="D163:F163"/>
    <mergeCell ref="D164:F164"/>
    <mergeCell ref="B165:C165"/>
    <mergeCell ref="D165:F165"/>
    <mergeCell ref="D153:F153"/>
    <mergeCell ref="B154:C154"/>
    <mergeCell ref="D154:F154"/>
    <mergeCell ref="D155:F155"/>
    <mergeCell ref="B162:C162"/>
    <mergeCell ref="D162:F162"/>
    <mergeCell ref="B159:C159"/>
    <mergeCell ref="D159:F159"/>
    <mergeCell ref="D160:F160"/>
    <mergeCell ref="B161:C161"/>
    <mergeCell ref="D161:F161"/>
    <mergeCell ref="B170:C170"/>
    <mergeCell ref="D170:F170"/>
    <mergeCell ref="B171:C171"/>
    <mergeCell ref="D175:F175"/>
    <mergeCell ref="C176:F176"/>
    <mergeCell ref="D166:F166"/>
    <mergeCell ref="B167:C167"/>
    <mergeCell ref="D167:F167"/>
    <mergeCell ref="D168:F168"/>
    <mergeCell ref="B169:C169"/>
    <mergeCell ref="D169:F169"/>
    <mergeCell ref="B173:C174"/>
    <mergeCell ref="B205:C205"/>
    <mergeCell ref="B206:C206"/>
    <mergeCell ref="B207:C207"/>
    <mergeCell ref="B216:C216"/>
    <mergeCell ref="B231:C231"/>
    <mergeCell ref="B219:C219"/>
    <mergeCell ref="B179:F179"/>
    <mergeCell ref="B180:C180"/>
    <mergeCell ref="B181:C181"/>
    <mergeCell ref="B182:C182"/>
    <mergeCell ref="B183:C183"/>
    <mergeCell ref="B218:C218"/>
    <mergeCell ref="B187:C187"/>
    <mergeCell ref="B210:C210"/>
    <mergeCell ref="B211:C211"/>
    <mergeCell ref="B212:C212"/>
    <mergeCell ref="B213:C213"/>
    <mergeCell ref="B220:C220"/>
    <mergeCell ref="B221:C221"/>
    <mergeCell ref="B222:C222"/>
    <mergeCell ref="B223:C223"/>
    <mergeCell ref="B228:C228"/>
    <mergeCell ref="B361:C361"/>
    <mergeCell ref="D362:F362"/>
    <mergeCell ref="B354:C354"/>
    <mergeCell ref="B355:C355"/>
    <mergeCell ref="B356:C356"/>
    <mergeCell ref="B357:C357"/>
    <mergeCell ref="B358:C358"/>
    <mergeCell ref="B317:C317"/>
    <mergeCell ref="B347:F347"/>
    <mergeCell ref="B320:C320"/>
    <mergeCell ref="B335:C335"/>
    <mergeCell ref="B334:F334"/>
    <mergeCell ref="B336:C336"/>
    <mergeCell ref="B337:C337"/>
    <mergeCell ref="B338:C338"/>
    <mergeCell ref="B339:C339"/>
    <mergeCell ref="B346:C346"/>
    <mergeCell ref="B342:C342"/>
    <mergeCell ref="B343:C343"/>
    <mergeCell ref="B344:C344"/>
    <mergeCell ref="B345:C345"/>
    <mergeCell ref="B340:C340"/>
    <mergeCell ref="B341:C341"/>
    <mergeCell ref="B319:C319"/>
    <mergeCell ref="B311:C311"/>
    <mergeCell ref="B312:C312"/>
    <mergeCell ref="B214:F214"/>
    <mergeCell ref="B215:C215"/>
    <mergeCell ref="B224:F224"/>
    <mergeCell ref="B253:F253"/>
    <mergeCell ref="B238:C238"/>
    <mergeCell ref="B239:C239"/>
    <mergeCell ref="B227:C227"/>
    <mergeCell ref="B234:C234"/>
    <mergeCell ref="B225:F225"/>
    <mergeCell ref="B226:C226"/>
    <mergeCell ref="B277:C277"/>
    <mergeCell ref="B232:C232"/>
    <mergeCell ref="B233:C233"/>
    <mergeCell ref="B240:C240"/>
    <mergeCell ref="B235:C235"/>
    <mergeCell ref="B303:C303"/>
    <mergeCell ref="B250:C250"/>
    <mergeCell ref="B237:F237"/>
    <mergeCell ref="B241:C241"/>
    <mergeCell ref="B242:C242"/>
    <mergeCell ref="B243:C243"/>
    <mergeCell ref="B236:C236"/>
    <mergeCell ref="W172:X172"/>
    <mergeCell ref="Y172:Z172"/>
    <mergeCell ref="AA172:AB172"/>
    <mergeCell ref="AC172:AD172"/>
    <mergeCell ref="B265:C265"/>
    <mergeCell ref="AE172:AF172"/>
    <mergeCell ref="AG172:AH172"/>
    <mergeCell ref="B44:C46"/>
    <mergeCell ref="B196:F196"/>
    <mergeCell ref="B197:F197"/>
    <mergeCell ref="B185:C185"/>
    <mergeCell ref="B188:F188"/>
    <mergeCell ref="B189:C189"/>
    <mergeCell ref="B191:F191"/>
    <mergeCell ref="B198:C198"/>
    <mergeCell ref="B193:F193"/>
    <mergeCell ref="B195:C195"/>
    <mergeCell ref="B194:C194"/>
    <mergeCell ref="B200:C200"/>
    <mergeCell ref="B201:C201"/>
    <mergeCell ref="B202:C202"/>
    <mergeCell ref="B203:C203"/>
    <mergeCell ref="B184:C184"/>
    <mergeCell ref="B204:C204"/>
    <mergeCell ref="B329:C329"/>
    <mergeCell ref="B330:C330"/>
    <mergeCell ref="B331:C331"/>
    <mergeCell ref="B332:C332"/>
    <mergeCell ref="B333:C333"/>
    <mergeCell ref="B352:C352"/>
    <mergeCell ref="B359:C359"/>
    <mergeCell ref="B360:C360"/>
    <mergeCell ref="B313:C313"/>
    <mergeCell ref="B321:C321"/>
    <mergeCell ref="B322:C322"/>
    <mergeCell ref="B323:C323"/>
    <mergeCell ref="B324:C324"/>
    <mergeCell ref="B325:C325"/>
    <mergeCell ref="B326:C326"/>
    <mergeCell ref="B327:C327"/>
    <mergeCell ref="B328:C328"/>
    <mergeCell ref="B353:F353"/>
    <mergeCell ref="B318:C318"/>
    <mergeCell ref="B314:F314"/>
    <mergeCell ref="B315:C315"/>
    <mergeCell ref="B316:C316"/>
  </mergeCells>
  <dataValidations count="14">
    <dataValidation type="list" allowBlank="1" showInputMessage="1" showErrorMessage="1" sqref="B215:C223" xr:uid="{333E33B8-051F-428C-B872-CD476E7FBD96}">
      <formula1>$S$173:$S$397</formula1>
    </dataValidation>
    <dataValidation type="list" allowBlank="1" showInputMessage="1" showErrorMessage="1" sqref="B226:C236" xr:uid="{6AA7B418-75D6-4A70-BE73-4F05F9EF7EEA}">
      <formula1>$U$173:$U$397</formula1>
    </dataValidation>
    <dataValidation type="list" allowBlank="1" showInputMessage="1" showErrorMessage="1" sqref="B247:C252" xr:uid="{EBFD947F-9A53-4ACC-9157-784D63DB1725}">
      <formula1>$Y$173:$Y$397</formula1>
    </dataValidation>
    <dataValidation type="list" allowBlank="1" showInputMessage="1" showErrorMessage="1" sqref="B254:C256" xr:uid="{063983EF-5B52-4AA2-801F-7ED227D9CB9A}">
      <formula1>$AA$173:$AA$397</formula1>
    </dataValidation>
    <dataValidation type="list" allowBlank="1" showInputMessage="1" showErrorMessage="1" sqref="B259:C265" xr:uid="{7EC23FA4-480F-4463-9F0E-7016E606E3CC}">
      <formula1>$AC$173:$AC$397</formula1>
    </dataValidation>
    <dataValidation type="list" allowBlank="1" showInputMessage="1" showErrorMessage="1" sqref="B267:C270" xr:uid="{53EFAF86-541D-4110-A7AE-A01F9CB4078C}">
      <formula1>$AE$173:$AE$397</formula1>
    </dataValidation>
    <dataValidation type="list" allowBlank="1" showInputMessage="1" showErrorMessage="1" sqref="B348:C352" xr:uid="{23EF8050-18DA-4B58-88D0-AABF0AE2A556}">
      <formula1>$AO$173:$AO$397</formula1>
    </dataValidation>
    <dataValidation type="list" allowBlank="1" showInputMessage="1" showErrorMessage="1" sqref="B335:C346" xr:uid="{96AE49C9-D9E0-45D2-A67E-3834E35FDAC2}">
      <formula1>$AM$173:$AM$397</formula1>
    </dataValidation>
    <dataValidation type="list" allowBlank="1" showInputMessage="1" showErrorMessage="1" sqref="B198:C213" xr:uid="{F84E127C-B358-4B8C-B5E2-9DD5C9BCF3AE}">
      <formula1>$Q$173:$Q$397</formula1>
    </dataValidation>
    <dataValidation type="list" allowBlank="1" showInputMessage="1" showErrorMessage="1" sqref="B238:C245" xr:uid="{5108CBCD-8369-455D-B5E5-C2F323354949}">
      <formula1>$W$173:$W$397</formula1>
    </dataValidation>
    <dataValidation type="list" allowBlank="1" showInputMessage="1" showErrorMessage="1" sqref="B354:C360" xr:uid="{5248DAF9-8DD5-48FC-A5E7-9C413E51A165}">
      <formula1>$AQ$173:$AQ$397</formula1>
    </dataValidation>
    <dataValidation type="list" allowBlank="1" showInputMessage="1" showErrorMessage="1" sqref="B272:C289" xr:uid="{2843C5F2-7686-4175-AC47-E3056D2945B7}">
      <formula1>$AG$173:$AG$397</formula1>
    </dataValidation>
    <dataValidation type="list" allowBlank="1" showInputMessage="1" showErrorMessage="1" sqref="B291:C313" xr:uid="{BE936765-DB43-45BC-92E4-15690EBA3923}">
      <formula1>$AI$173:$AI$397</formula1>
    </dataValidation>
    <dataValidation type="list" allowBlank="1" showInputMessage="1" showErrorMessage="1" sqref="B315:C333" xr:uid="{0C7C6523-05B7-4793-B10A-6CDA84A7718D}">
      <formula1>$AK$173:$AK$397</formula1>
    </dataValidation>
  </dataValidations>
  <pageMargins left="0.62992125984251968" right="0.43307086614173229" top="0.74803149606299213" bottom="0.74803149606299213" header="0.31496062992125984" footer="0.31496062992125984"/>
  <pageSetup paperSize="9" scale="96" orientation="portrait" horizontalDpi="1200" verticalDpi="300" r:id="rId1"/>
  <rowBreaks count="3" manualBreakCount="3">
    <brk id="159" min="1" max="5" man="1"/>
    <brk id="170" min="1" max="5" man="1"/>
    <brk id="365" min="1" max="5" man="1"/>
  </rowBreak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2B1B-7F4A-45DA-8D2C-7E9A0BE13EBA}">
  <sheetPr codeName="Sheet23">
    <tabColor rgb="FFFFFF00"/>
    <pageSetUpPr fitToPage="1"/>
  </sheetPr>
  <dimension ref="A1:R374"/>
  <sheetViews>
    <sheetView topLeftCell="A183" zoomScaleNormal="100" workbookViewId="0">
      <selection activeCell="H199" sqref="H199"/>
    </sheetView>
  </sheetViews>
  <sheetFormatPr defaultColWidth="9.109375" defaultRowHeight="18" customHeight="1"/>
  <cols>
    <col min="1" max="1" width="3.6640625" style="127" customWidth="1"/>
    <col min="2" max="2" width="15" style="40" customWidth="1"/>
    <col min="3" max="3" width="50.6640625" style="40" customWidth="1"/>
    <col min="4" max="4" width="9.5546875" style="107" customWidth="1"/>
    <col min="5" max="6" width="9.5546875" style="40" customWidth="1"/>
    <col min="7" max="7" width="9.109375" style="40"/>
    <col min="8" max="8" width="62.6640625" style="40" customWidth="1"/>
    <col min="9" max="9" width="12.6640625" style="40" customWidth="1"/>
    <col min="10" max="16384" width="9.109375" style="40"/>
  </cols>
  <sheetData>
    <row r="1" spans="2:10" ht="18" customHeight="1" thickBot="1"/>
    <row r="2" spans="2:10" ht="18" customHeight="1">
      <c r="B2" s="108"/>
      <c r="C2" s="109"/>
      <c r="D2" s="110"/>
      <c r="E2" s="109"/>
      <c r="F2" s="111"/>
    </row>
    <row r="3" spans="2:10" ht="18" customHeight="1">
      <c r="B3" s="112"/>
      <c r="C3" s="113"/>
      <c r="D3" s="114"/>
      <c r="E3" s="113"/>
      <c r="F3" s="115"/>
      <c r="G3" s="113"/>
    </row>
    <row r="4" spans="2:10" ht="39" customHeight="1">
      <c r="B4" s="116" t="s">
        <v>228</v>
      </c>
      <c r="C4" s="113"/>
      <c r="D4" s="117"/>
      <c r="E4" s="118"/>
      <c r="F4" s="119"/>
      <c r="G4" s="113"/>
      <c r="H4" s="113"/>
      <c r="I4" s="113"/>
    </row>
    <row r="5" spans="2:10" ht="11.25" customHeight="1">
      <c r="B5" s="120" t="s">
        <v>229</v>
      </c>
      <c r="C5" s="113"/>
      <c r="E5" s="121" t="s">
        <v>230</v>
      </c>
      <c r="F5" s="115"/>
      <c r="G5" s="118"/>
      <c r="H5" s="113"/>
      <c r="I5" s="113"/>
    </row>
    <row r="6" spans="2:10" ht="11.25" customHeight="1">
      <c r="B6" s="120" t="s">
        <v>231</v>
      </c>
      <c r="C6" s="113"/>
      <c r="E6" s="121" t="s">
        <v>232</v>
      </c>
      <c r="F6" s="115"/>
      <c r="G6" s="118"/>
      <c r="H6" s="113"/>
      <c r="I6" s="113"/>
      <c r="J6" s="113"/>
    </row>
    <row r="7" spans="2:10" ht="13.5" customHeight="1">
      <c r="B7" s="120" t="s">
        <v>233</v>
      </c>
      <c r="C7" s="113"/>
      <c r="E7" s="121" t="s">
        <v>234</v>
      </c>
      <c r="F7" s="115"/>
      <c r="G7" s="118"/>
      <c r="H7" s="113"/>
      <c r="I7" s="113"/>
      <c r="J7" s="113"/>
    </row>
    <row r="8" spans="2:10" ht="18" customHeight="1">
      <c r="B8" s="122"/>
      <c r="C8" s="113"/>
      <c r="D8" s="123"/>
      <c r="E8" s="113"/>
      <c r="F8" s="115"/>
      <c r="G8" s="113"/>
      <c r="H8" s="113"/>
      <c r="I8" s="113"/>
      <c r="J8" s="113"/>
    </row>
    <row r="9" spans="2:10" ht="18" customHeight="1">
      <c r="B9" s="124" t="s">
        <v>235</v>
      </c>
      <c r="C9" s="125">
        <f>+C48</f>
        <v>0</v>
      </c>
      <c r="D9" s="123"/>
      <c r="E9" s="113"/>
      <c r="F9" s="115"/>
      <c r="G9" s="113"/>
      <c r="H9" s="113"/>
      <c r="I9" s="113"/>
      <c r="J9" s="113"/>
    </row>
    <row r="10" spans="2:10" ht="18" customHeight="1">
      <c r="B10" s="122"/>
      <c r="C10" s="113"/>
      <c r="D10" s="123"/>
      <c r="E10" s="113"/>
      <c r="F10" s="115"/>
      <c r="G10" s="113"/>
      <c r="H10" s="113"/>
      <c r="I10" s="113"/>
      <c r="J10" s="113"/>
    </row>
    <row r="11" spans="2:10" ht="18" customHeight="1">
      <c r="B11" s="126" t="s">
        <v>236</v>
      </c>
      <c r="C11" s="113"/>
      <c r="D11" s="123"/>
      <c r="E11" s="113"/>
      <c r="F11" s="115"/>
      <c r="G11" s="113"/>
      <c r="H11" s="113"/>
      <c r="I11" s="113"/>
      <c r="J11" s="113"/>
    </row>
    <row r="12" spans="2:10" ht="18" customHeight="1">
      <c r="B12" s="122"/>
      <c r="C12" s="113"/>
      <c r="D12" s="123"/>
      <c r="E12" s="113"/>
      <c r="F12" s="115"/>
      <c r="G12" s="113"/>
      <c r="H12" s="113"/>
      <c r="I12" s="113"/>
      <c r="J12" s="113"/>
    </row>
    <row r="13" spans="2:10" ht="18" customHeight="1">
      <c r="B13" s="122" t="s">
        <v>237</v>
      </c>
      <c r="C13" s="113"/>
      <c r="D13" s="123"/>
      <c r="E13" s="113"/>
      <c r="F13" s="115"/>
      <c r="G13" s="113"/>
      <c r="H13" s="113"/>
      <c r="I13" s="113"/>
      <c r="J13" s="113"/>
    </row>
    <row r="14" spans="2:10" ht="18" customHeight="1">
      <c r="B14" s="122" t="s">
        <v>238</v>
      </c>
      <c r="C14" s="113"/>
      <c r="D14" s="123"/>
      <c r="E14" s="113"/>
      <c r="F14" s="115"/>
      <c r="G14" s="113"/>
      <c r="H14" s="113"/>
      <c r="I14" s="113"/>
      <c r="J14" s="113"/>
    </row>
    <row r="15" spans="2:10" ht="18" customHeight="1">
      <c r="B15" s="122"/>
      <c r="C15" s="113"/>
      <c r="D15" s="123"/>
      <c r="E15" s="113"/>
      <c r="F15" s="115"/>
      <c r="G15" s="113"/>
      <c r="H15" s="113"/>
      <c r="I15" s="113"/>
      <c r="J15" s="113"/>
    </row>
    <row r="16" spans="2:10" ht="18" customHeight="1">
      <c r="B16" s="122" t="s">
        <v>239</v>
      </c>
      <c r="C16" s="113"/>
      <c r="D16" s="123"/>
      <c r="E16" s="113"/>
      <c r="F16" s="115"/>
      <c r="G16" s="113"/>
      <c r="H16" s="113"/>
      <c r="I16" s="113"/>
      <c r="J16" s="113"/>
    </row>
    <row r="17" spans="2:10" ht="18" customHeight="1">
      <c r="B17" s="122">
        <f>+C52</f>
        <v>0</v>
      </c>
      <c r="C17" s="113"/>
      <c r="D17" s="123"/>
      <c r="E17" s="113"/>
      <c r="F17" s="115"/>
      <c r="G17" s="113"/>
      <c r="H17" s="113"/>
      <c r="I17" s="113"/>
      <c r="J17" s="113"/>
    </row>
    <row r="18" spans="2:10" ht="18" customHeight="1">
      <c r="B18" s="122"/>
      <c r="C18" s="113"/>
      <c r="D18" s="123"/>
      <c r="E18" s="113"/>
      <c r="F18" s="115"/>
      <c r="G18" s="113"/>
      <c r="H18" s="113"/>
      <c r="I18" s="113"/>
      <c r="J18" s="113"/>
    </row>
    <row r="19" spans="2:10" ht="18" customHeight="1">
      <c r="B19" s="122" t="s">
        <v>240</v>
      </c>
      <c r="C19" s="113"/>
      <c r="D19" s="123"/>
      <c r="E19" s="113"/>
      <c r="F19" s="115"/>
      <c r="G19" s="113"/>
      <c r="H19" s="113"/>
      <c r="I19" s="113"/>
      <c r="J19" s="113"/>
    </row>
    <row r="20" spans="2:10" ht="18" customHeight="1">
      <c r="B20" s="122" t="s">
        <v>241</v>
      </c>
      <c r="C20" s="113"/>
      <c r="D20" s="123"/>
      <c r="E20" s="113"/>
      <c r="F20" s="115"/>
      <c r="G20" s="113"/>
      <c r="H20" s="113"/>
      <c r="I20" s="113"/>
      <c r="J20" s="113"/>
    </row>
    <row r="21" spans="2:10" ht="18" customHeight="1">
      <c r="B21" s="122"/>
      <c r="C21" s="113"/>
      <c r="D21" s="123"/>
      <c r="E21" s="113"/>
      <c r="F21" s="115"/>
      <c r="G21" s="113"/>
      <c r="H21" s="113"/>
      <c r="I21" s="113"/>
      <c r="J21" s="113"/>
    </row>
    <row r="22" spans="2:10" ht="18" customHeight="1">
      <c r="B22" s="122" t="s">
        <v>242</v>
      </c>
      <c r="C22" s="113"/>
      <c r="D22" s="123"/>
      <c r="E22" s="113"/>
      <c r="F22" s="115"/>
      <c r="G22" s="113"/>
      <c r="H22" s="113"/>
      <c r="I22" s="113"/>
      <c r="J22" s="113"/>
    </row>
    <row r="23" spans="2:10" ht="18" customHeight="1">
      <c r="B23" s="122" t="s">
        <v>243</v>
      </c>
      <c r="C23" s="113"/>
      <c r="D23" s="123"/>
      <c r="E23" s="113"/>
      <c r="F23" s="115"/>
      <c r="G23" s="113"/>
      <c r="H23" s="113"/>
      <c r="I23" s="113"/>
      <c r="J23" s="113"/>
    </row>
    <row r="24" spans="2:10" ht="18" customHeight="1">
      <c r="B24" s="122" t="s">
        <v>244</v>
      </c>
      <c r="C24" s="113"/>
      <c r="D24" s="123"/>
      <c r="E24" s="113"/>
      <c r="F24" s="115"/>
      <c r="G24" s="113"/>
      <c r="H24" s="113"/>
      <c r="I24" s="113"/>
      <c r="J24" s="113"/>
    </row>
    <row r="25" spans="2:10" ht="18" customHeight="1">
      <c r="B25" s="122" t="s">
        <v>245</v>
      </c>
      <c r="C25" s="113"/>
      <c r="D25" s="123"/>
      <c r="E25" s="113"/>
      <c r="F25" s="115"/>
      <c r="G25" s="113"/>
      <c r="H25" s="113"/>
      <c r="I25" s="113"/>
      <c r="J25" s="113"/>
    </row>
    <row r="26" spans="2:10" ht="18" customHeight="1">
      <c r="B26" s="122"/>
      <c r="C26" s="113"/>
      <c r="D26" s="123"/>
      <c r="E26" s="113"/>
      <c r="F26" s="115"/>
      <c r="G26" s="113"/>
      <c r="H26" s="113"/>
      <c r="I26" s="113"/>
      <c r="J26" s="113"/>
    </row>
    <row r="27" spans="2:10" ht="18" customHeight="1">
      <c r="B27" s="122" t="s">
        <v>246</v>
      </c>
      <c r="C27" s="113"/>
      <c r="D27" s="123"/>
      <c r="E27" s="113"/>
      <c r="F27" s="115"/>
      <c r="G27" s="113"/>
      <c r="H27" s="113"/>
      <c r="I27" s="113"/>
      <c r="J27" s="113"/>
    </row>
    <row r="28" spans="2:10" ht="18" customHeight="1">
      <c r="B28" s="122" t="s">
        <v>247</v>
      </c>
      <c r="C28" s="113"/>
      <c r="D28" s="123"/>
      <c r="E28" s="113"/>
      <c r="F28" s="115"/>
      <c r="G28" s="113"/>
      <c r="H28" s="113"/>
      <c r="I28" s="113"/>
      <c r="J28" s="113"/>
    </row>
    <row r="29" spans="2:10" ht="18" customHeight="1">
      <c r="B29" s="122" t="s">
        <v>248</v>
      </c>
      <c r="C29" s="113"/>
      <c r="D29" s="123"/>
      <c r="E29" s="113"/>
      <c r="F29" s="115"/>
      <c r="G29" s="113"/>
      <c r="H29" s="113"/>
      <c r="I29" s="113"/>
      <c r="J29" s="113"/>
    </row>
    <row r="30" spans="2:10" ht="18" customHeight="1">
      <c r="B30" s="122" t="s">
        <v>249</v>
      </c>
      <c r="C30" s="113"/>
      <c r="D30" s="123"/>
      <c r="E30" s="113"/>
      <c r="F30" s="115"/>
      <c r="G30" s="113"/>
      <c r="H30" s="113"/>
      <c r="I30" s="113"/>
      <c r="J30" s="113"/>
    </row>
    <row r="31" spans="2:10" ht="18" customHeight="1">
      <c r="B31" s="122"/>
      <c r="C31" s="113"/>
      <c r="D31" s="123"/>
      <c r="E31" s="113"/>
      <c r="F31" s="115"/>
      <c r="G31" s="113"/>
      <c r="H31" s="113"/>
      <c r="I31" s="113"/>
      <c r="J31" s="113"/>
    </row>
    <row r="32" spans="2:10" ht="18" customHeight="1">
      <c r="B32" s="122" t="s">
        <v>250</v>
      </c>
      <c r="C32" s="113"/>
      <c r="D32" s="123"/>
      <c r="E32" s="113"/>
      <c r="F32" s="115"/>
      <c r="G32" s="113"/>
      <c r="H32" s="113"/>
      <c r="I32" s="113"/>
      <c r="J32" s="113"/>
    </row>
    <row r="33" spans="1:10" ht="18" customHeight="1">
      <c r="B33" s="128" t="s">
        <v>251</v>
      </c>
      <c r="C33" s="113"/>
      <c r="D33" s="123"/>
      <c r="E33" s="113"/>
      <c r="F33" s="115"/>
      <c r="G33" s="113"/>
      <c r="H33" s="113"/>
      <c r="I33" s="113"/>
      <c r="J33" s="113"/>
    </row>
    <row r="34" spans="1:10" ht="18" customHeight="1">
      <c r="B34" s="128" t="s">
        <v>252</v>
      </c>
      <c r="C34" s="113"/>
      <c r="D34" s="123"/>
      <c r="E34" s="113"/>
      <c r="F34" s="115"/>
      <c r="G34" s="113"/>
      <c r="H34" s="113"/>
      <c r="I34" s="113"/>
      <c r="J34" s="113"/>
    </row>
    <row r="35" spans="1:10" ht="18" customHeight="1">
      <c r="B35" s="128" t="s">
        <v>253</v>
      </c>
      <c r="C35" s="113"/>
      <c r="D35" s="123"/>
      <c r="E35" s="113"/>
      <c r="F35" s="115"/>
      <c r="G35" s="113"/>
      <c r="H35" s="113"/>
      <c r="I35" s="113"/>
      <c r="J35" s="113"/>
    </row>
    <row r="36" spans="1:10" ht="18" customHeight="1">
      <c r="B36" s="122"/>
      <c r="C36" s="113"/>
      <c r="D36" s="123"/>
      <c r="E36" s="113"/>
      <c r="F36" s="115"/>
      <c r="G36" s="113"/>
      <c r="H36" s="113"/>
      <c r="I36" s="113"/>
      <c r="J36" s="113"/>
    </row>
    <row r="37" spans="1:10" ht="18" customHeight="1">
      <c r="B37" s="122" t="s">
        <v>254</v>
      </c>
      <c r="C37" s="113"/>
      <c r="D37" s="123"/>
      <c r="E37" s="113"/>
      <c r="F37" s="115"/>
      <c r="G37" s="113"/>
      <c r="H37" s="113"/>
      <c r="I37" s="113"/>
      <c r="J37" s="113"/>
    </row>
    <row r="38" spans="1:10" ht="18" customHeight="1">
      <c r="B38" s="122" t="s">
        <v>255</v>
      </c>
      <c r="C38" s="113"/>
      <c r="D38" s="123"/>
      <c r="E38" s="113"/>
      <c r="F38" s="115"/>
      <c r="G38" s="113"/>
      <c r="H38" s="113"/>
      <c r="I38" s="113"/>
      <c r="J38" s="113"/>
    </row>
    <row r="39" spans="1:10" ht="18" customHeight="1">
      <c r="B39" s="122"/>
      <c r="C39" s="113"/>
      <c r="D39" s="123"/>
      <c r="E39" s="113"/>
      <c r="F39" s="115"/>
      <c r="G39" s="113"/>
      <c r="H39" s="113"/>
      <c r="I39" s="113"/>
      <c r="J39" s="113"/>
    </row>
    <row r="40" spans="1:10" ht="18" customHeight="1">
      <c r="B40" s="122" t="s">
        <v>256</v>
      </c>
      <c r="C40" s="113"/>
      <c r="D40" s="123"/>
      <c r="E40" s="113"/>
      <c r="F40" s="115"/>
      <c r="G40" s="113"/>
      <c r="H40" s="113"/>
      <c r="I40" s="113"/>
      <c r="J40" s="113"/>
    </row>
    <row r="41" spans="1:10" ht="18" customHeight="1">
      <c r="B41" s="122"/>
      <c r="C41" s="113"/>
      <c r="D41" s="123"/>
      <c r="E41" s="113"/>
      <c r="F41" s="115"/>
      <c r="G41" s="113"/>
      <c r="H41" s="113"/>
      <c r="I41" s="113"/>
      <c r="J41" s="113"/>
    </row>
    <row r="42" spans="1:10" ht="18" customHeight="1">
      <c r="B42" s="122"/>
      <c r="C42" s="113"/>
      <c r="D42" s="123"/>
      <c r="E42" s="113"/>
      <c r="F42" s="115"/>
      <c r="G42" s="113"/>
      <c r="H42" s="113"/>
      <c r="I42" s="113"/>
      <c r="J42" s="113"/>
    </row>
    <row r="43" spans="1:10" ht="18" customHeight="1">
      <c r="B43" s="126"/>
      <c r="C43" s="113"/>
      <c r="D43" s="123"/>
      <c r="E43" s="113"/>
      <c r="F43" s="115"/>
      <c r="G43" s="113"/>
      <c r="H43" s="113"/>
      <c r="I43" s="113"/>
      <c r="J43" s="113"/>
    </row>
    <row r="44" spans="1:10" ht="18" customHeight="1" thickBot="1">
      <c r="B44" s="129" t="s">
        <v>257</v>
      </c>
      <c r="C44" s="130"/>
      <c r="D44" s="131"/>
      <c r="E44" s="130"/>
      <c r="F44" s="132"/>
      <c r="G44" s="113"/>
      <c r="H44" s="113"/>
      <c r="I44" s="113"/>
      <c r="J44" s="113"/>
    </row>
    <row r="46" spans="1:10" ht="22.5" customHeight="1">
      <c r="I46" s="133"/>
    </row>
    <row r="47" spans="1:10" ht="24.9" customHeight="1" thickBot="1">
      <c r="A47" s="134"/>
      <c r="B47" s="560" t="s">
        <v>258</v>
      </c>
      <c r="C47" s="560"/>
      <c r="D47" s="135"/>
      <c r="E47" s="134"/>
      <c r="F47" s="134"/>
    </row>
    <row r="48" spans="1:10" ht="18" customHeight="1">
      <c r="A48" s="136"/>
      <c r="B48" s="137" t="s">
        <v>259</v>
      </c>
      <c r="C48" s="661"/>
      <c r="D48" s="661"/>
      <c r="E48" s="661"/>
      <c r="F48" s="662"/>
      <c r="G48" s="138"/>
    </row>
    <row r="49" spans="1:10" ht="18" customHeight="1">
      <c r="A49" s="136"/>
      <c r="B49" s="552" t="s">
        <v>260</v>
      </c>
      <c r="C49" s="564"/>
      <c r="D49" s="564"/>
      <c r="E49" s="564"/>
      <c r="F49" s="565"/>
      <c r="H49" s="139"/>
      <c r="I49" s="140"/>
      <c r="J49" s="140"/>
    </row>
    <row r="50" spans="1:10" ht="18" customHeight="1">
      <c r="A50" s="136"/>
      <c r="B50" s="552" t="s">
        <v>261</v>
      </c>
      <c r="C50" s="564"/>
      <c r="D50" s="564"/>
      <c r="E50" s="564"/>
      <c r="F50" s="565"/>
      <c r="H50" s="139"/>
      <c r="I50" s="140"/>
      <c r="J50" s="140"/>
    </row>
    <row r="51" spans="1:10" ht="18" customHeight="1">
      <c r="A51" s="136"/>
      <c r="B51" s="552" t="s">
        <v>262</v>
      </c>
      <c r="C51" s="564"/>
      <c r="D51" s="564"/>
      <c r="E51" s="564"/>
      <c r="F51" s="565"/>
      <c r="H51" s="139"/>
      <c r="I51" s="140"/>
      <c r="J51" s="140"/>
    </row>
    <row r="52" spans="1:10" ht="18" customHeight="1" thickBot="1">
      <c r="A52" s="136"/>
      <c r="B52" s="141" t="s">
        <v>263</v>
      </c>
      <c r="C52" s="576"/>
      <c r="D52" s="576"/>
      <c r="E52" s="576"/>
      <c r="F52" s="577"/>
    </row>
    <row r="53" spans="1:10" ht="18" customHeight="1" thickBot="1">
      <c r="A53" s="142"/>
      <c r="B53" s="139"/>
      <c r="C53" s="139"/>
      <c r="D53" s="139"/>
      <c r="E53" s="139"/>
      <c r="F53" s="139"/>
    </row>
    <row r="54" spans="1:10" s="144" customFormat="1" ht="18" customHeight="1">
      <c r="A54" s="143"/>
      <c r="B54" s="663" t="s">
        <v>264</v>
      </c>
      <c r="C54" s="664"/>
      <c r="D54" s="664"/>
      <c r="E54" s="664"/>
      <c r="F54" s="665"/>
    </row>
    <row r="55" spans="1:10" s="144" customFormat="1" ht="18" customHeight="1">
      <c r="A55" s="143"/>
      <c r="B55" s="145" t="s">
        <v>265</v>
      </c>
      <c r="C55" s="146"/>
      <c r="D55" s="656"/>
      <c r="E55" s="657"/>
      <c r="F55" s="658"/>
    </row>
    <row r="56" spans="1:10" ht="18" customHeight="1">
      <c r="A56" s="136"/>
      <c r="B56" s="659" t="s">
        <v>266</v>
      </c>
      <c r="C56" s="660"/>
      <c r="D56" s="656" t="s">
        <v>267</v>
      </c>
      <c r="E56" s="657"/>
      <c r="F56" s="658"/>
    </row>
    <row r="57" spans="1:10" ht="18" customHeight="1">
      <c r="A57" s="136"/>
      <c r="B57" s="659" t="s">
        <v>268</v>
      </c>
      <c r="C57" s="660"/>
      <c r="D57" s="656" t="s">
        <v>267</v>
      </c>
      <c r="E57" s="657"/>
      <c r="F57" s="658"/>
    </row>
    <row r="58" spans="1:10" ht="18" customHeight="1">
      <c r="A58" s="136"/>
      <c r="B58" s="659" t="s">
        <v>269</v>
      </c>
      <c r="C58" s="660"/>
      <c r="D58" s="656" t="s">
        <v>267</v>
      </c>
      <c r="E58" s="657"/>
      <c r="F58" s="658"/>
    </row>
    <row r="59" spans="1:10" ht="18" customHeight="1">
      <c r="A59" s="136"/>
      <c r="B59" s="659" t="s">
        <v>270</v>
      </c>
      <c r="C59" s="660"/>
      <c r="D59" s="656" t="s">
        <v>267</v>
      </c>
      <c r="E59" s="657"/>
      <c r="F59" s="658"/>
    </row>
    <row r="60" spans="1:10" ht="18" customHeight="1">
      <c r="A60" s="136"/>
      <c r="B60" s="659" t="s">
        <v>271</v>
      </c>
      <c r="C60" s="660"/>
      <c r="D60" s="656" t="s">
        <v>267</v>
      </c>
      <c r="E60" s="657"/>
      <c r="F60" s="658"/>
      <c r="I60" s="107"/>
    </row>
    <row r="61" spans="1:10" ht="18" customHeight="1">
      <c r="A61" s="136"/>
      <c r="B61" s="659" t="s">
        <v>272</v>
      </c>
      <c r="C61" s="660"/>
      <c r="D61" s="656" t="s">
        <v>267</v>
      </c>
      <c r="E61" s="657"/>
      <c r="F61" s="658"/>
    </row>
    <row r="62" spans="1:10" ht="18" customHeight="1">
      <c r="B62" s="659" t="s">
        <v>273</v>
      </c>
      <c r="C62" s="660"/>
      <c r="D62" s="656" t="s">
        <v>267</v>
      </c>
      <c r="E62" s="657"/>
      <c r="F62" s="658"/>
    </row>
    <row r="63" spans="1:10" ht="18" customHeight="1">
      <c r="B63" s="145" t="s">
        <v>274</v>
      </c>
      <c r="C63" s="146"/>
      <c r="D63" s="656"/>
      <c r="E63" s="657"/>
      <c r="F63" s="658"/>
    </row>
    <row r="64" spans="1:10" ht="18" customHeight="1">
      <c r="B64" s="659" t="s">
        <v>275</v>
      </c>
      <c r="C64" s="660"/>
      <c r="D64" s="656" t="s">
        <v>267</v>
      </c>
      <c r="E64" s="657"/>
      <c r="F64" s="658"/>
    </row>
    <row r="65" spans="2:7" ht="18" customHeight="1">
      <c r="B65" s="659" t="s">
        <v>276</v>
      </c>
      <c r="C65" s="660"/>
      <c r="D65" s="656" t="s">
        <v>267</v>
      </c>
      <c r="E65" s="657"/>
      <c r="F65" s="658"/>
    </row>
    <row r="66" spans="2:7" ht="18" customHeight="1">
      <c r="B66" s="659" t="s">
        <v>277</v>
      </c>
      <c r="C66" s="660"/>
      <c r="D66" s="656" t="s">
        <v>267</v>
      </c>
      <c r="E66" s="657"/>
      <c r="F66" s="658"/>
      <c r="G66" s="147"/>
    </row>
    <row r="67" spans="2:7" ht="18" customHeight="1">
      <c r="B67" s="659" t="s">
        <v>278</v>
      </c>
      <c r="C67" s="660"/>
      <c r="D67" s="656" t="s">
        <v>267</v>
      </c>
      <c r="E67" s="657"/>
      <c r="F67" s="658"/>
    </row>
    <row r="68" spans="2:7" ht="18" customHeight="1">
      <c r="B68" s="659" t="s">
        <v>279</v>
      </c>
      <c r="C68" s="660"/>
      <c r="D68" s="656"/>
      <c r="E68" s="657"/>
      <c r="F68" s="658"/>
    </row>
    <row r="69" spans="2:7" ht="18" customHeight="1">
      <c r="B69" s="145" t="s">
        <v>280</v>
      </c>
      <c r="C69" s="146"/>
      <c r="D69" s="656"/>
      <c r="E69" s="657"/>
      <c r="F69" s="658"/>
    </row>
    <row r="70" spans="2:7" ht="18" customHeight="1">
      <c r="B70" s="659" t="s">
        <v>281</v>
      </c>
      <c r="C70" s="660"/>
      <c r="D70" s="656" t="s">
        <v>267</v>
      </c>
      <c r="E70" s="657"/>
      <c r="F70" s="658"/>
    </row>
    <row r="71" spans="2:7" ht="24.75" customHeight="1">
      <c r="B71" s="659" t="s">
        <v>282</v>
      </c>
      <c r="C71" s="660"/>
      <c r="D71" s="656" t="s">
        <v>267</v>
      </c>
      <c r="E71" s="657"/>
      <c r="F71" s="658"/>
    </row>
    <row r="72" spans="2:7" ht="18" customHeight="1">
      <c r="B72" s="659" t="s">
        <v>283</v>
      </c>
      <c r="C72" s="660"/>
      <c r="D72" s="656" t="s">
        <v>267</v>
      </c>
      <c r="E72" s="657"/>
      <c r="F72" s="658"/>
    </row>
    <row r="73" spans="2:7" ht="18" customHeight="1">
      <c r="B73" s="145" t="s">
        <v>284</v>
      </c>
      <c r="C73" s="146"/>
      <c r="D73" s="656"/>
      <c r="E73" s="657"/>
      <c r="F73" s="658"/>
    </row>
    <row r="74" spans="2:7" ht="18" customHeight="1">
      <c r="B74" s="666" t="s">
        <v>285</v>
      </c>
      <c r="C74" s="570"/>
      <c r="D74" s="656" t="s">
        <v>267</v>
      </c>
      <c r="E74" s="657"/>
      <c r="F74" s="658"/>
    </row>
    <row r="75" spans="2:7" ht="18" customHeight="1">
      <c r="B75" s="145" t="s">
        <v>286</v>
      </c>
      <c r="C75" s="146"/>
      <c r="D75" s="656"/>
      <c r="E75" s="657"/>
      <c r="F75" s="658"/>
    </row>
    <row r="76" spans="2:7" ht="18" customHeight="1">
      <c r="B76" s="659" t="s">
        <v>287</v>
      </c>
      <c r="C76" s="660"/>
      <c r="D76" s="656" t="s">
        <v>267</v>
      </c>
      <c r="E76" s="657"/>
      <c r="F76" s="658"/>
    </row>
    <row r="77" spans="2:7" ht="18" customHeight="1">
      <c r="B77" s="659" t="s">
        <v>288</v>
      </c>
      <c r="C77" s="660"/>
      <c r="D77" s="656" t="s">
        <v>267</v>
      </c>
      <c r="E77" s="657"/>
      <c r="F77" s="658"/>
    </row>
    <row r="78" spans="2:7" ht="18" customHeight="1">
      <c r="B78" s="659" t="s">
        <v>289</v>
      </c>
      <c r="C78" s="660"/>
      <c r="D78" s="656" t="s">
        <v>267</v>
      </c>
      <c r="E78" s="657"/>
      <c r="F78" s="658"/>
    </row>
    <row r="79" spans="2:7" ht="18" customHeight="1">
      <c r="B79" s="145" t="s">
        <v>290</v>
      </c>
      <c r="C79" s="146"/>
      <c r="D79" s="656"/>
      <c r="E79" s="657"/>
      <c r="F79" s="658"/>
    </row>
    <row r="80" spans="2:7" ht="18" customHeight="1">
      <c r="B80" s="659" t="s">
        <v>291</v>
      </c>
      <c r="C80" s="572"/>
      <c r="D80" s="656" t="s">
        <v>267</v>
      </c>
      <c r="E80" s="657"/>
      <c r="F80" s="658"/>
    </row>
    <row r="81" spans="2:6" ht="18" customHeight="1">
      <c r="B81" s="145" t="s">
        <v>292</v>
      </c>
      <c r="C81" s="146"/>
      <c r="D81" s="656"/>
      <c r="E81" s="657"/>
      <c r="F81" s="658"/>
    </row>
    <row r="82" spans="2:6" ht="18" customHeight="1">
      <c r="B82" s="659" t="s">
        <v>293</v>
      </c>
      <c r="C82" s="572"/>
      <c r="D82" s="656" t="s">
        <v>267</v>
      </c>
      <c r="E82" s="657"/>
      <c r="F82" s="658"/>
    </row>
    <row r="83" spans="2:6" ht="27.75" customHeight="1">
      <c r="B83" s="666" t="s">
        <v>294</v>
      </c>
      <c r="C83" s="570"/>
      <c r="D83" s="656" t="s">
        <v>267</v>
      </c>
      <c r="E83" s="657"/>
      <c r="F83" s="658"/>
    </row>
    <row r="84" spans="2:6" ht="18" customHeight="1">
      <c r="B84" s="145" t="s">
        <v>295</v>
      </c>
      <c r="C84" s="146"/>
      <c r="D84" s="656"/>
      <c r="E84" s="657"/>
      <c r="F84" s="658"/>
    </row>
    <row r="85" spans="2:6" ht="18" customHeight="1">
      <c r="B85" s="666" t="s">
        <v>296</v>
      </c>
      <c r="C85" s="570"/>
      <c r="D85" s="656" t="s">
        <v>267</v>
      </c>
      <c r="E85" s="657"/>
      <c r="F85" s="658"/>
    </row>
    <row r="86" spans="2:6" ht="26.25" customHeight="1">
      <c r="B86" s="666" t="s">
        <v>297</v>
      </c>
      <c r="C86" s="570"/>
      <c r="D86" s="656" t="s">
        <v>267</v>
      </c>
      <c r="E86" s="657"/>
      <c r="F86" s="658"/>
    </row>
    <row r="87" spans="2:6" ht="27" customHeight="1">
      <c r="B87" s="666" t="s">
        <v>298</v>
      </c>
      <c r="C87" s="570"/>
      <c r="D87" s="656" t="s">
        <v>267</v>
      </c>
      <c r="E87" s="657"/>
      <c r="F87" s="658"/>
    </row>
    <row r="88" spans="2:6" ht="18" customHeight="1">
      <c r="B88" s="145" t="s">
        <v>299</v>
      </c>
      <c r="C88" s="146"/>
      <c r="D88" s="656"/>
      <c r="E88" s="657"/>
      <c r="F88" s="658"/>
    </row>
    <row r="89" spans="2:6" ht="18" customHeight="1">
      <c r="B89" s="666" t="s">
        <v>300</v>
      </c>
      <c r="C89" s="570"/>
      <c r="D89" s="656" t="s">
        <v>267</v>
      </c>
      <c r="E89" s="657"/>
      <c r="F89" s="658"/>
    </row>
    <row r="90" spans="2:6" ht="27" customHeight="1">
      <c r="B90" s="666" t="s">
        <v>301</v>
      </c>
      <c r="C90" s="570"/>
      <c r="D90" s="656" t="s">
        <v>267</v>
      </c>
      <c r="E90" s="657"/>
      <c r="F90" s="658"/>
    </row>
    <row r="91" spans="2:6" ht="18" customHeight="1">
      <c r="B91" s="145" t="s">
        <v>302</v>
      </c>
      <c r="C91" s="146"/>
      <c r="D91" s="656"/>
      <c r="E91" s="657"/>
      <c r="F91" s="658"/>
    </row>
    <row r="92" spans="2:6" ht="27" customHeight="1">
      <c r="B92" s="666" t="s">
        <v>303</v>
      </c>
      <c r="C92" s="570"/>
      <c r="D92" s="656" t="s">
        <v>267</v>
      </c>
      <c r="E92" s="657"/>
      <c r="F92" s="658"/>
    </row>
    <row r="93" spans="2:6" ht="27" customHeight="1">
      <c r="B93" s="666" t="s">
        <v>304</v>
      </c>
      <c r="C93" s="570"/>
      <c r="D93" s="656" t="s">
        <v>267</v>
      </c>
      <c r="E93" s="657"/>
      <c r="F93" s="658"/>
    </row>
    <row r="94" spans="2:6" ht="18" customHeight="1">
      <c r="B94" s="666" t="s">
        <v>305</v>
      </c>
      <c r="C94" s="667"/>
      <c r="D94" s="656" t="s">
        <v>267</v>
      </c>
      <c r="E94" s="657"/>
      <c r="F94" s="658"/>
    </row>
    <row r="95" spans="2:6" ht="18" customHeight="1">
      <c r="B95" s="145" t="s">
        <v>306</v>
      </c>
      <c r="C95" s="146"/>
      <c r="D95" s="656"/>
      <c r="E95" s="657"/>
      <c r="F95" s="658"/>
    </row>
    <row r="96" spans="2:6" ht="18" customHeight="1">
      <c r="B96" s="666" t="s">
        <v>307</v>
      </c>
      <c r="C96" s="570"/>
      <c r="D96" s="656" t="s">
        <v>267</v>
      </c>
      <c r="E96" s="657"/>
      <c r="F96" s="658"/>
    </row>
    <row r="97" spans="2:6" ht="18" customHeight="1">
      <c r="B97" s="666" t="s">
        <v>308</v>
      </c>
      <c r="C97" s="570"/>
      <c r="D97" s="656" t="s">
        <v>267</v>
      </c>
      <c r="E97" s="657"/>
      <c r="F97" s="658"/>
    </row>
    <row r="98" spans="2:6" ht="18" customHeight="1">
      <c r="B98" s="666" t="s">
        <v>309</v>
      </c>
      <c r="C98" s="570"/>
      <c r="D98" s="656" t="s">
        <v>267</v>
      </c>
      <c r="E98" s="657"/>
      <c r="F98" s="658"/>
    </row>
    <row r="99" spans="2:6" ht="18" customHeight="1">
      <c r="B99" s="145" t="s">
        <v>310</v>
      </c>
      <c r="C99" s="148"/>
      <c r="D99" s="656"/>
      <c r="E99" s="657"/>
      <c r="F99" s="658"/>
    </row>
    <row r="100" spans="2:6" ht="18" customHeight="1">
      <c r="B100" s="666" t="s">
        <v>311</v>
      </c>
      <c r="C100" s="570"/>
      <c r="D100" s="656" t="s">
        <v>267</v>
      </c>
      <c r="E100" s="657"/>
      <c r="F100" s="658"/>
    </row>
    <row r="101" spans="2:6" ht="18" customHeight="1">
      <c r="B101" s="666" t="s">
        <v>312</v>
      </c>
      <c r="C101" s="570"/>
      <c r="D101" s="656" t="s">
        <v>267</v>
      </c>
      <c r="E101" s="657"/>
      <c r="F101" s="658"/>
    </row>
    <row r="102" spans="2:6" ht="27" customHeight="1">
      <c r="B102" s="666" t="s">
        <v>313</v>
      </c>
      <c r="C102" s="570"/>
      <c r="D102" s="656" t="s">
        <v>267</v>
      </c>
      <c r="E102" s="657"/>
      <c r="F102" s="658"/>
    </row>
    <row r="103" spans="2:6" ht="18" customHeight="1">
      <c r="B103" s="666" t="s">
        <v>314</v>
      </c>
      <c r="C103" s="570"/>
      <c r="D103" s="656" t="s">
        <v>267</v>
      </c>
      <c r="E103" s="657"/>
      <c r="F103" s="658"/>
    </row>
    <row r="104" spans="2:6" ht="18" customHeight="1">
      <c r="B104" s="145" t="s">
        <v>315</v>
      </c>
      <c r="C104" s="146"/>
      <c r="D104" s="656"/>
      <c r="E104" s="657"/>
      <c r="F104" s="658"/>
    </row>
    <row r="105" spans="2:6" ht="18" customHeight="1">
      <c r="B105" s="666" t="s">
        <v>316</v>
      </c>
      <c r="C105" s="570"/>
      <c r="D105" s="656" t="s">
        <v>267</v>
      </c>
      <c r="E105" s="657"/>
      <c r="F105" s="658"/>
    </row>
    <row r="106" spans="2:6" ht="18" customHeight="1">
      <c r="B106" s="666" t="s">
        <v>317</v>
      </c>
      <c r="C106" s="570"/>
      <c r="D106" s="656" t="s">
        <v>267</v>
      </c>
      <c r="E106" s="657"/>
      <c r="F106" s="658"/>
    </row>
    <row r="107" spans="2:6" ht="18" customHeight="1">
      <c r="B107" s="666" t="s">
        <v>318</v>
      </c>
      <c r="C107" s="570"/>
      <c r="D107" s="656" t="s">
        <v>267</v>
      </c>
      <c r="E107" s="657"/>
      <c r="F107" s="658"/>
    </row>
    <row r="108" spans="2:6" ht="18" customHeight="1">
      <c r="B108" s="145" t="s">
        <v>319</v>
      </c>
      <c r="C108" s="146"/>
      <c r="D108" s="656"/>
      <c r="E108" s="657"/>
      <c r="F108" s="658"/>
    </row>
    <row r="109" spans="2:6" ht="18" customHeight="1">
      <c r="B109" s="666" t="s">
        <v>320</v>
      </c>
      <c r="C109" s="570"/>
      <c r="D109" s="656" t="s">
        <v>267</v>
      </c>
      <c r="E109" s="657"/>
      <c r="F109" s="658"/>
    </row>
    <row r="110" spans="2:6" ht="18" customHeight="1">
      <c r="B110" s="666" t="s">
        <v>321</v>
      </c>
      <c r="C110" s="570"/>
      <c r="D110" s="656" t="s">
        <v>267</v>
      </c>
      <c r="E110" s="657"/>
      <c r="F110" s="658"/>
    </row>
    <row r="111" spans="2:6" ht="18" customHeight="1">
      <c r="B111" s="666" t="s">
        <v>322</v>
      </c>
      <c r="C111" s="570"/>
      <c r="D111" s="656" t="s">
        <v>267</v>
      </c>
      <c r="E111" s="657"/>
      <c r="F111" s="658"/>
    </row>
    <row r="112" spans="2:6" ht="18" customHeight="1">
      <c r="B112" s="666" t="s">
        <v>323</v>
      </c>
      <c r="C112" s="570"/>
      <c r="D112" s="656" t="s">
        <v>267</v>
      </c>
      <c r="E112" s="657"/>
      <c r="F112" s="658"/>
    </row>
    <row r="113" spans="2:6" ht="18" customHeight="1">
      <c r="B113" s="145" t="s">
        <v>324</v>
      </c>
      <c r="C113" s="149"/>
      <c r="D113" s="656"/>
      <c r="E113" s="657"/>
      <c r="F113" s="658"/>
    </row>
    <row r="114" spans="2:6" ht="18" customHeight="1">
      <c r="B114" s="666" t="s">
        <v>325</v>
      </c>
      <c r="C114" s="570"/>
      <c r="D114" s="656" t="s">
        <v>267</v>
      </c>
      <c r="E114" s="657"/>
      <c r="F114" s="658"/>
    </row>
    <row r="115" spans="2:6" ht="18" customHeight="1">
      <c r="B115" s="666" t="s">
        <v>326</v>
      </c>
      <c r="C115" s="570"/>
      <c r="D115" s="656" t="s">
        <v>267</v>
      </c>
      <c r="E115" s="657"/>
      <c r="F115" s="658"/>
    </row>
    <row r="116" spans="2:6" ht="18" customHeight="1">
      <c r="B116" s="666" t="s">
        <v>327</v>
      </c>
      <c r="C116" s="570"/>
      <c r="D116" s="656" t="s">
        <v>267</v>
      </c>
      <c r="E116" s="657"/>
      <c r="F116" s="658"/>
    </row>
    <row r="117" spans="2:6" ht="18" customHeight="1">
      <c r="B117" s="666" t="s">
        <v>328</v>
      </c>
      <c r="C117" s="570"/>
      <c r="D117" s="656" t="s">
        <v>267</v>
      </c>
      <c r="E117" s="657"/>
      <c r="F117" s="658"/>
    </row>
    <row r="118" spans="2:6" ht="27" customHeight="1">
      <c r="B118" s="666" t="s">
        <v>329</v>
      </c>
      <c r="C118" s="570"/>
      <c r="D118" s="656" t="s">
        <v>267</v>
      </c>
      <c r="E118" s="657"/>
      <c r="F118" s="658"/>
    </row>
    <row r="119" spans="2:6" ht="18" customHeight="1">
      <c r="B119" s="666" t="s">
        <v>330</v>
      </c>
      <c r="C119" s="570"/>
      <c r="D119" s="656" t="s">
        <v>267</v>
      </c>
      <c r="E119" s="657"/>
      <c r="F119" s="658"/>
    </row>
    <row r="120" spans="2:6" ht="18" customHeight="1">
      <c r="B120" s="666" t="s">
        <v>331</v>
      </c>
      <c r="C120" s="570"/>
      <c r="D120" s="656" t="s">
        <v>267</v>
      </c>
      <c r="E120" s="657"/>
      <c r="F120" s="658"/>
    </row>
    <row r="121" spans="2:6" ht="18" customHeight="1">
      <c r="B121" s="666" t="s">
        <v>332</v>
      </c>
      <c r="C121" s="570"/>
      <c r="D121" s="656" t="s">
        <v>267</v>
      </c>
      <c r="E121" s="657"/>
      <c r="F121" s="658"/>
    </row>
    <row r="122" spans="2:6" ht="18" customHeight="1">
      <c r="B122" s="666" t="s">
        <v>333</v>
      </c>
      <c r="C122" s="570"/>
      <c r="D122" s="656" t="s">
        <v>267</v>
      </c>
      <c r="E122" s="657"/>
      <c r="F122" s="658"/>
    </row>
    <row r="123" spans="2:6" ht="18" customHeight="1">
      <c r="B123" s="666" t="s">
        <v>334</v>
      </c>
      <c r="C123" s="570"/>
      <c r="D123" s="656" t="s">
        <v>267</v>
      </c>
      <c r="E123" s="657"/>
      <c r="F123" s="658"/>
    </row>
    <row r="124" spans="2:6" ht="18" customHeight="1">
      <c r="B124" s="145" t="s">
        <v>335</v>
      </c>
      <c r="C124" s="149"/>
      <c r="D124" s="656"/>
      <c r="E124" s="657"/>
      <c r="F124" s="658"/>
    </row>
    <row r="125" spans="2:6" ht="18" customHeight="1">
      <c r="B125" s="666" t="s">
        <v>336</v>
      </c>
      <c r="C125" s="570"/>
      <c r="D125" s="656" t="s">
        <v>267</v>
      </c>
      <c r="E125" s="657"/>
      <c r="F125" s="658"/>
    </row>
    <row r="126" spans="2:6" ht="18" customHeight="1">
      <c r="B126" s="666" t="s">
        <v>337</v>
      </c>
      <c r="C126" s="570"/>
      <c r="D126" s="656" t="s">
        <v>267</v>
      </c>
      <c r="E126" s="657"/>
      <c r="F126" s="658"/>
    </row>
    <row r="127" spans="2:6" ht="18" customHeight="1">
      <c r="B127" s="666" t="s">
        <v>338</v>
      </c>
      <c r="C127" s="667"/>
      <c r="D127" s="656" t="s">
        <v>267</v>
      </c>
      <c r="E127" s="657"/>
      <c r="F127" s="658"/>
    </row>
    <row r="128" spans="2:6" ht="18" customHeight="1">
      <c r="B128" s="666" t="s">
        <v>339</v>
      </c>
      <c r="C128" s="570"/>
      <c r="D128" s="656" t="s">
        <v>267</v>
      </c>
      <c r="E128" s="657"/>
      <c r="F128" s="658"/>
    </row>
    <row r="129" spans="2:6" ht="18" customHeight="1">
      <c r="B129" s="666" t="s">
        <v>340</v>
      </c>
      <c r="C129" s="570"/>
      <c r="D129" s="656" t="s">
        <v>267</v>
      </c>
      <c r="E129" s="657"/>
      <c r="F129" s="658"/>
    </row>
    <row r="130" spans="2:6" ht="18" customHeight="1">
      <c r="B130" s="666" t="s">
        <v>341</v>
      </c>
      <c r="C130" s="570"/>
      <c r="D130" s="656" t="s">
        <v>267</v>
      </c>
      <c r="E130" s="657"/>
      <c r="F130" s="658"/>
    </row>
    <row r="131" spans="2:6" ht="18" customHeight="1">
      <c r="B131" s="666" t="s">
        <v>342</v>
      </c>
      <c r="C131" s="570"/>
      <c r="D131" s="656" t="s">
        <v>267</v>
      </c>
      <c r="E131" s="657"/>
      <c r="F131" s="658"/>
    </row>
    <row r="132" spans="2:6" ht="18" customHeight="1">
      <c r="B132" s="666" t="s">
        <v>343</v>
      </c>
      <c r="C132" s="570"/>
      <c r="D132" s="656" t="s">
        <v>267</v>
      </c>
      <c r="E132" s="657"/>
      <c r="F132" s="658"/>
    </row>
    <row r="133" spans="2:6" ht="18" customHeight="1">
      <c r="B133" s="666" t="s">
        <v>344</v>
      </c>
      <c r="C133" s="570"/>
      <c r="D133" s="656" t="s">
        <v>267</v>
      </c>
      <c r="E133" s="657"/>
      <c r="F133" s="658"/>
    </row>
    <row r="134" spans="2:6" ht="18" customHeight="1">
      <c r="B134" s="666" t="s">
        <v>345</v>
      </c>
      <c r="C134" s="570"/>
      <c r="D134" s="656" t="s">
        <v>267</v>
      </c>
      <c r="E134" s="657"/>
      <c r="F134" s="658"/>
    </row>
    <row r="135" spans="2:6" ht="18" customHeight="1">
      <c r="B135" s="145" t="s">
        <v>346</v>
      </c>
      <c r="C135" s="149"/>
      <c r="D135" s="656"/>
      <c r="E135" s="657"/>
      <c r="F135" s="658"/>
    </row>
    <row r="136" spans="2:6" ht="18" customHeight="1">
      <c r="B136" s="666" t="s">
        <v>347</v>
      </c>
      <c r="C136" s="570"/>
      <c r="D136" s="656" t="s">
        <v>267</v>
      </c>
      <c r="E136" s="657"/>
      <c r="F136" s="658"/>
    </row>
    <row r="137" spans="2:6" ht="18" customHeight="1">
      <c r="B137" s="145" t="s">
        <v>348</v>
      </c>
      <c r="C137" s="149"/>
      <c r="D137" s="656"/>
      <c r="E137" s="657"/>
      <c r="F137" s="658"/>
    </row>
    <row r="138" spans="2:6" ht="18" customHeight="1">
      <c r="B138" s="666" t="s">
        <v>349</v>
      </c>
      <c r="C138" s="570"/>
      <c r="D138" s="656" t="s">
        <v>267</v>
      </c>
      <c r="E138" s="657"/>
      <c r="F138" s="658"/>
    </row>
    <row r="139" spans="2:6" ht="18" customHeight="1">
      <c r="B139" s="666" t="s">
        <v>350</v>
      </c>
      <c r="C139" s="570"/>
      <c r="D139" s="656" t="s">
        <v>267</v>
      </c>
      <c r="E139" s="657"/>
      <c r="F139" s="658"/>
    </row>
    <row r="140" spans="2:6" ht="18" customHeight="1">
      <c r="B140" s="666" t="s">
        <v>351</v>
      </c>
      <c r="C140" s="570"/>
      <c r="D140" s="656" t="s">
        <v>267</v>
      </c>
      <c r="E140" s="657"/>
      <c r="F140" s="658"/>
    </row>
    <row r="141" spans="2:6" ht="18" customHeight="1">
      <c r="B141" s="666" t="s">
        <v>352</v>
      </c>
      <c r="C141" s="570"/>
      <c r="D141" s="656" t="s">
        <v>267</v>
      </c>
      <c r="E141" s="657"/>
      <c r="F141" s="658"/>
    </row>
    <row r="142" spans="2:6" ht="18" customHeight="1">
      <c r="B142" s="145" t="s">
        <v>353</v>
      </c>
      <c r="C142" s="146"/>
      <c r="D142" s="656"/>
      <c r="E142" s="657"/>
      <c r="F142" s="658"/>
    </row>
    <row r="143" spans="2:6" ht="18" customHeight="1">
      <c r="B143" s="666" t="s">
        <v>354</v>
      </c>
      <c r="C143" s="570"/>
      <c r="D143" s="656" t="s">
        <v>267</v>
      </c>
      <c r="E143" s="657"/>
      <c r="F143" s="658"/>
    </row>
    <row r="144" spans="2:6" ht="18" customHeight="1">
      <c r="B144" s="666" t="s">
        <v>355</v>
      </c>
      <c r="C144" s="570"/>
      <c r="D144" s="656" t="s">
        <v>267</v>
      </c>
      <c r="E144" s="657"/>
      <c r="F144" s="658"/>
    </row>
    <row r="145" spans="2:6" ht="18" customHeight="1">
      <c r="B145" s="666" t="s">
        <v>356</v>
      </c>
      <c r="C145" s="570"/>
      <c r="D145" s="656" t="s">
        <v>267</v>
      </c>
      <c r="E145" s="657"/>
      <c r="F145" s="658"/>
    </row>
    <row r="146" spans="2:6" ht="18" customHeight="1">
      <c r="B146" s="666" t="s">
        <v>357</v>
      </c>
      <c r="C146" s="570"/>
      <c r="D146" s="656" t="s">
        <v>267</v>
      </c>
      <c r="E146" s="657"/>
      <c r="F146" s="658"/>
    </row>
    <row r="147" spans="2:6" ht="18" customHeight="1">
      <c r="B147" s="145" t="s">
        <v>358</v>
      </c>
      <c r="C147" s="149"/>
      <c r="D147" s="656"/>
      <c r="E147" s="657"/>
      <c r="F147" s="658"/>
    </row>
    <row r="148" spans="2:6" ht="18" customHeight="1">
      <c r="B148" s="666" t="s">
        <v>359</v>
      </c>
      <c r="C148" s="570"/>
      <c r="D148" s="656" t="s">
        <v>267</v>
      </c>
      <c r="E148" s="657"/>
      <c r="F148" s="658"/>
    </row>
    <row r="149" spans="2:6" ht="18" customHeight="1">
      <c r="B149" s="666" t="s">
        <v>360</v>
      </c>
      <c r="C149" s="570"/>
      <c r="D149" s="656" t="s">
        <v>267</v>
      </c>
      <c r="E149" s="657"/>
      <c r="F149" s="658"/>
    </row>
    <row r="150" spans="2:6" ht="18" customHeight="1">
      <c r="B150" s="666" t="s">
        <v>361</v>
      </c>
      <c r="C150" s="570"/>
      <c r="D150" s="656" t="s">
        <v>267</v>
      </c>
      <c r="E150" s="657"/>
      <c r="F150" s="658"/>
    </row>
    <row r="151" spans="2:6" ht="18" customHeight="1">
      <c r="B151" s="666" t="s">
        <v>362</v>
      </c>
      <c r="C151" s="570"/>
      <c r="D151" s="656" t="s">
        <v>267</v>
      </c>
      <c r="E151" s="657"/>
      <c r="F151" s="658"/>
    </row>
    <row r="152" spans="2:6" ht="25.5" customHeight="1">
      <c r="B152" s="666" t="s">
        <v>363</v>
      </c>
      <c r="C152" s="570"/>
      <c r="D152" s="656" t="s">
        <v>267</v>
      </c>
      <c r="E152" s="657"/>
      <c r="F152" s="658"/>
    </row>
    <row r="153" spans="2:6" ht="18" customHeight="1">
      <c r="B153" s="666" t="s">
        <v>364</v>
      </c>
      <c r="C153" s="570"/>
      <c r="D153" s="656" t="s">
        <v>267</v>
      </c>
      <c r="E153" s="657"/>
      <c r="F153" s="658"/>
    </row>
    <row r="154" spans="2:6" ht="18" customHeight="1">
      <c r="B154" s="666" t="s">
        <v>365</v>
      </c>
      <c r="C154" s="570"/>
      <c r="D154" s="656" t="s">
        <v>267</v>
      </c>
      <c r="E154" s="657"/>
      <c r="F154" s="658"/>
    </row>
    <row r="155" spans="2:6" ht="18" customHeight="1">
      <c r="B155" s="666" t="s">
        <v>366</v>
      </c>
      <c r="C155" s="570"/>
      <c r="D155" s="656" t="s">
        <v>267</v>
      </c>
      <c r="E155" s="657"/>
      <c r="F155" s="658"/>
    </row>
    <row r="156" spans="2:6" ht="18" customHeight="1">
      <c r="B156" s="666" t="s">
        <v>367</v>
      </c>
      <c r="C156" s="570"/>
      <c r="D156" s="656" t="s">
        <v>267</v>
      </c>
      <c r="E156" s="657"/>
      <c r="F156" s="658"/>
    </row>
    <row r="157" spans="2:6" ht="18" customHeight="1">
      <c r="B157" s="145" t="s">
        <v>368</v>
      </c>
      <c r="C157" s="146"/>
      <c r="D157" s="656"/>
      <c r="E157" s="657"/>
      <c r="F157" s="658"/>
    </row>
    <row r="158" spans="2:6" ht="27.6" customHeight="1">
      <c r="B158" s="666" t="s">
        <v>369</v>
      </c>
      <c r="C158" s="570"/>
      <c r="D158" s="656" t="s">
        <v>267</v>
      </c>
      <c r="E158" s="657"/>
      <c r="F158" s="658"/>
    </row>
    <row r="159" spans="2:6" ht="18" customHeight="1">
      <c r="B159" s="145" t="s">
        <v>370</v>
      </c>
      <c r="C159" s="149"/>
      <c r="D159" s="656"/>
      <c r="E159" s="657"/>
      <c r="F159" s="658"/>
    </row>
    <row r="160" spans="2:6" ht="18" customHeight="1">
      <c r="B160" s="666" t="s">
        <v>371</v>
      </c>
      <c r="C160" s="570"/>
      <c r="D160" s="656" t="s">
        <v>267</v>
      </c>
      <c r="E160" s="657"/>
      <c r="F160" s="658"/>
    </row>
    <row r="161" spans="1:8" ht="18" customHeight="1">
      <c r="B161" s="666" t="s">
        <v>372</v>
      </c>
      <c r="C161" s="570"/>
      <c r="D161" s="656" t="s">
        <v>267</v>
      </c>
      <c r="E161" s="657"/>
      <c r="F161" s="658"/>
    </row>
    <row r="162" spans="1:8" ht="18" customHeight="1">
      <c r="B162" s="145" t="s">
        <v>373</v>
      </c>
      <c r="C162" s="149"/>
      <c r="D162" s="656"/>
      <c r="E162" s="657"/>
      <c r="F162" s="658"/>
    </row>
    <row r="163" spans="1:8" ht="18" customHeight="1">
      <c r="B163" s="666" t="s">
        <v>374</v>
      </c>
      <c r="C163" s="667"/>
      <c r="D163" s="656"/>
      <c r="E163" s="657"/>
      <c r="F163" s="658"/>
    </row>
    <row r="164" spans="1:8" ht="18" customHeight="1">
      <c r="B164" s="666" t="s">
        <v>375</v>
      </c>
      <c r="C164" s="667"/>
      <c r="D164" s="656" t="s">
        <v>267</v>
      </c>
      <c r="E164" s="657"/>
      <c r="F164" s="658"/>
    </row>
    <row r="165" spans="1:8" s="147" customFormat="1" ht="26.25" customHeight="1">
      <c r="A165" s="127"/>
      <c r="B165" s="666" t="s">
        <v>376</v>
      </c>
      <c r="C165" s="667"/>
      <c r="D165" s="656" t="s">
        <v>267</v>
      </c>
      <c r="E165" s="657"/>
      <c r="F165" s="658"/>
      <c r="G165" s="40"/>
    </row>
    <row r="166" spans="1:8" ht="26.25" customHeight="1">
      <c r="B166" s="666" t="s">
        <v>377</v>
      </c>
      <c r="C166" s="667"/>
      <c r="D166" s="656" t="s">
        <v>267</v>
      </c>
      <c r="E166" s="657"/>
      <c r="F166" s="658"/>
    </row>
    <row r="167" spans="1:8" ht="18" customHeight="1">
      <c r="B167" s="666" t="s">
        <v>378</v>
      </c>
      <c r="C167" s="667"/>
      <c r="D167" s="656" t="s">
        <v>267</v>
      </c>
      <c r="E167" s="657"/>
      <c r="F167" s="658"/>
    </row>
    <row r="168" spans="1:8" ht="18" customHeight="1">
      <c r="B168" s="145" t="s">
        <v>379</v>
      </c>
      <c r="C168" s="149"/>
      <c r="D168" s="656"/>
      <c r="E168" s="657"/>
      <c r="F168" s="658"/>
    </row>
    <row r="169" spans="1:8" ht="26.25" customHeight="1">
      <c r="B169" s="666" t="s">
        <v>380</v>
      </c>
      <c r="C169" s="570"/>
      <c r="D169" s="656" t="s">
        <v>267</v>
      </c>
      <c r="E169" s="657"/>
      <c r="F169" s="658"/>
      <c r="H169"/>
    </row>
    <row r="170" spans="1:8" ht="26.25" customHeight="1">
      <c r="B170" s="666" t="s">
        <v>381</v>
      </c>
      <c r="C170" s="570"/>
      <c r="D170" s="656" t="s">
        <v>267</v>
      </c>
      <c r="E170" s="657"/>
      <c r="F170" s="658"/>
      <c r="H170"/>
    </row>
    <row r="171" spans="1:8" ht="26.1" customHeight="1">
      <c r="B171" s="666" t="s">
        <v>382</v>
      </c>
      <c r="C171" s="667"/>
      <c r="D171" s="656" t="s">
        <v>267</v>
      </c>
      <c r="E171" s="657"/>
      <c r="F171" s="658"/>
    </row>
    <row r="172" spans="1:8" ht="24" customHeight="1">
      <c r="B172" s="145" t="s">
        <v>383</v>
      </c>
      <c r="C172" s="149"/>
      <c r="D172" s="656"/>
      <c r="E172" s="657"/>
      <c r="F172" s="658"/>
    </row>
    <row r="173" spans="1:8" ht="18" customHeight="1">
      <c r="B173" s="666" t="s">
        <v>384</v>
      </c>
      <c r="C173" s="570"/>
      <c r="D173" s="656" t="s">
        <v>267</v>
      </c>
      <c r="E173" s="657"/>
      <c r="F173" s="658"/>
      <c r="H173" s="150"/>
    </row>
    <row r="174" spans="1:8" ht="22.95" customHeight="1">
      <c r="B174" s="145" t="s">
        <v>385</v>
      </c>
      <c r="C174" s="149"/>
      <c r="D174" s="656"/>
      <c r="E174" s="657"/>
      <c r="F174" s="658"/>
    </row>
    <row r="175" spans="1:8" ht="18" customHeight="1">
      <c r="B175" s="666" t="s">
        <v>386</v>
      </c>
      <c r="C175" s="570"/>
      <c r="D175" s="656" t="s">
        <v>267</v>
      </c>
      <c r="E175" s="657"/>
      <c r="F175" s="658"/>
      <c r="H175" s="151"/>
    </row>
    <row r="176" spans="1:8" ht="18" customHeight="1">
      <c r="B176" s="145" t="s">
        <v>387</v>
      </c>
      <c r="C176" s="146"/>
      <c r="D176" s="656"/>
      <c r="E176" s="657"/>
      <c r="F176" s="658"/>
    </row>
    <row r="177" spans="1:18" ht="18" customHeight="1">
      <c r="B177" s="666" t="s">
        <v>388</v>
      </c>
      <c r="C177" s="570"/>
      <c r="D177" s="656" t="s">
        <v>267</v>
      </c>
      <c r="E177" s="657"/>
      <c r="F177" s="658"/>
      <c r="H177" s="150"/>
      <c r="I177" s="147"/>
    </row>
    <row r="178" spans="1:18" ht="27" customHeight="1" thickBot="1">
      <c r="B178" s="668" t="s">
        <v>389</v>
      </c>
      <c r="C178" s="555"/>
      <c r="D178" s="669" t="s">
        <v>267</v>
      </c>
      <c r="E178" s="670"/>
      <c r="F178" s="671"/>
    </row>
    <row r="179" spans="1:18" ht="18" customHeight="1">
      <c r="A179" s="136"/>
      <c r="B179" s="559"/>
      <c r="C179" s="559"/>
      <c r="D179" s="40"/>
    </row>
    <row r="180" spans="1:18" ht="18" customHeight="1">
      <c r="A180" s="136"/>
      <c r="B180" s="152"/>
      <c r="C180" s="152"/>
      <c r="D180" s="40"/>
      <c r="H180" s="222" t="s">
        <v>448</v>
      </c>
      <c r="I180" s="153"/>
      <c r="J180" s="147" t="s">
        <v>391</v>
      </c>
    </row>
    <row r="181" spans="1:18" ht="18" customHeight="1">
      <c r="A181" s="136"/>
      <c r="B181" s="152"/>
      <c r="C181" s="152"/>
      <c r="D181" s="40"/>
      <c r="H181" s="154" t="s">
        <v>392</v>
      </c>
      <c r="I181" s="155"/>
      <c r="J181" s="156"/>
    </row>
    <row r="182" spans="1:18" ht="24.9" customHeight="1" thickBot="1">
      <c r="A182" s="136"/>
      <c r="B182" s="560" t="s">
        <v>258</v>
      </c>
      <c r="C182" s="560"/>
      <c r="D182" s="157"/>
      <c r="E182" s="157"/>
      <c r="F182" s="157"/>
      <c r="H182" s="158" t="s">
        <v>393</v>
      </c>
      <c r="I182" s="155"/>
      <c r="J182" s="156"/>
    </row>
    <row r="183" spans="1:18" ht="18" customHeight="1">
      <c r="A183" s="136"/>
      <c r="B183" s="159" t="s">
        <v>394</v>
      </c>
      <c r="C183" s="160">
        <f>+C48</f>
        <v>0</v>
      </c>
      <c r="D183" s="561" t="s">
        <v>395</v>
      </c>
      <c r="E183" s="562"/>
      <c r="F183" s="563"/>
      <c r="H183" s="158" t="s">
        <v>396</v>
      </c>
      <c r="I183" s="155"/>
      <c r="J183" s="161" t="s">
        <v>397</v>
      </c>
      <c r="K183" s="162"/>
      <c r="L183" s="163"/>
      <c r="M183" s="163"/>
      <c r="N183" s="163"/>
      <c r="O183" s="163"/>
      <c r="P183" s="163"/>
      <c r="Q183" s="163"/>
      <c r="R183" s="164"/>
    </row>
    <row r="184" spans="1:18" ht="18" customHeight="1">
      <c r="A184" s="136"/>
      <c r="B184" s="165" t="s">
        <v>263</v>
      </c>
      <c r="C184" s="564">
        <f>+C52</f>
        <v>0</v>
      </c>
      <c r="D184" s="564"/>
      <c r="E184" s="564"/>
      <c r="F184" s="565"/>
      <c r="H184" s="166" t="s">
        <v>398</v>
      </c>
      <c r="I184" s="167"/>
      <c r="J184" s="161" t="s">
        <v>397</v>
      </c>
      <c r="K184" s="168"/>
      <c r="L184" s="169"/>
      <c r="M184" s="169"/>
      <c r="N184" s="169"/>
      <c r="O184" s="169"/>
      <c r="P184" s="169"/>
      <c r="Q184" s="169"/>
      <c r="R184" s="170"/>
    </row>
    <row r="185" spans="1:18" ht="18" customHeight="1">
      <c r="A185" s="136"/>
      <c r="B185" s="171"/>
      <c r="C185" s="172"/>
      <c r="D185" s="173" t="s">
        <v>399</v>
      </c>
      <c r="E185" s="173" t="s">
        <v>400</v>
      </c>
      <c r="F185" s="174" t="s">
        <v>401</v>
      </c>
      <c r="H185" s="158" t="s">
        <v>402</v>
      </c>
      <c r="I185" s="155"/>
      <c r="J185" s="161" t="s">
        <v>397</v>
      </c>
      <c r="K185" s="168"/>
      <c r="L185" s="169"/>
      <c r="M185" s="169"/>
      <c r="N185" s="169"/>
      <c r="O185" s="169"/>
      <c r="P185" s="169"/>
      <c r="Q185" s="169"/>
      <c r="R185" s="170"/>
    </row>
    <row r="186" spans="1:18" ht="21.6" customHeight="1">
      <c r="A186" s="136"/>
      <c r="B186" s="552" t="s">
        <v>403</v>
      </c>
      <c r="C186" s="553"/>
      <c r="D186" s="175">
        <f>SUM(I189)</f>
        <v>0</v>
      </c>
      <c r="E186" s="176"/>
      <c r="F186" s="177">
        <f>SUM(E186-D186)</f>
        <v>0</v>
      </c>
      <c r="H186" s="178" t="s">
        <v>404</v>
      </c>
      <c r="I186" s="154"/>
    </row>
    <row r="187" spans="1:18" ht="18" customHeight="1">
      <c r="B187" s="672" t="s">
        <v>274</v>
      </c>
      <c r="C187" s="673"/>
      <c r="D187" s="673"/>
      <c r="E187" s="673"/>
      <c r="F187" s="674"/>
      <c r="H187" s="179"/>
      <c r="I187" s="180"/>
      <c r="J187" s="140"/>
    </row>
    <row r="188" spans="1:18" ht="18" customHeight="1">
      <c r="B188" s="659" t="s">
        <v>405</v>
      </c>
      <c r="C188" s="660"/>
      <c r="D188" s="181">
        <v>0</v>
      </c>
      <c r="E188" s="176"/>
      <c r="F188" s="177">
        <f t="shared" ref="F188:F194" si="0">SUM(E188-D188)</f>
        <v>0</v>
      </c>
      <c r="H188" s="154"/>
      <c r="I188" s="154"/>
    </row>
    <row r="189" spans="1:18" ht="18" customHeight="1">
      <c r="B189" s="659" t="s">
        <v>406</v>
      </c>
      <c r="C189" s="660"/>
      <c r="D189" s="181">
        <v>0</v>
      </c>
      <c r="E189" s="176"/>
      <c r="F189" s="177">
        <f t="shared" si="0"/>
        <v>0</v>
      </c>
      <c r="H189" s="178" t="s">
        <v>151</v>
      </c>
      <c r="I189" s="178">
        <f>SUM(I181:I188)</f>
        <v>0</v>
      </c>
    </row>
    <row r="190" spans="1:18" ht="18" customHeight="1">
      <c r="B190" s="659" t="s">
        <v>407</v>
      </c>
      <c r="C190" s="660"/>
      <c r="D190" s="181">
        <v>0</v>
      </c>
      <c r="E190" s="176"/>
      <c r="F190" s="177">
        <f t="shared" si="0"/>
        <v>0</v>
      </c>
      <c r="G190" s="144"/>
    </row>
    <row r="191" spans="1:18" ht="18" customHeight="1">
      <c r="B191" s="659" t="s">
        <v>408</v>
      </c>
      <c r="C191" s="660"/>
      <c r="D191" s="181">
        <v>0</v>
      </c>
      <c r="E191" s="176"/>
      <c r="F191" s="177">
        <f t="shared" si="0"/>
        <v>0</v>
      </c>
    </row>
    <row r="192" spans="1:18" ht="18" customHeight="1">
      <c r="B192" s="659" t="s">
        <v>409</v>
      </c>
      <c r="C192" s="660"/>
      <c r="D192" s="181">
        <v>0</v>
      </c>
      <c r="E192" s="176"/>
      <c r="F192" s="177">
        <f t="shared" si="0"/>
        <v>0</v>
      </c>
      <c r="I192" s="147"/>
      <c r="J192" s="147"/>
      <c r="K192" s="147"/>
      <c r="L192" s="147"/>
      <c r="M192" s="147"/>
      <c r="N192" s="147"/>
      <c r="O192" s="147"/>
      <c r="P192" s="147"/>
      <c r="Q192" s="147"/>
      <c r="R192" s="147"/>
    </row>
    <row r="193" spans="1:18" ht="18" customHeight="1">
      <c r="B193" s="659" t="s">
        <v>410</v>
      </c>
      <c r="C193" s="660"/>
      <c r="D193" s="181">
        <v>500</v>
      </c>
      <c r="E193" s="176"/>
      <c r="F193" s="177">
        <f t="shared" si="0"/>
        <v>-500</v>
      </c>
      <c r="H193" s="147"/>
      <c r="I193" s="147"/>
      <c r="J193" s="147"/>
      <c r="K193" s="147"/>
      <c r="L193" s="147"/>
      <c r="M193" s="147"/>
      <c r="N193" s="147"/>
      <c r="O193" s="147"/>
      <c r="P193" s="147"/>
      <c r="Q193" s="147"/>
      <c r="R193" s="147"/>
    </row>
    <row r="194" spans="1:18" ht="18" customHeight="1">
      <c r="B194" s="659" t="s">
        <v>411</v>
      </c>
      <c r="C194" s="660"/>
      <c r="D194" s="181">
        <v>0</v>
      </c>
      <c r="E194" s="176"/>
      <c r="F194" s="177">
        <f t="shared" si="0"/>
        <v>0</v>
      </c>
    </row>
    <row r="195" spans="1:18" ht="18" customHeight="1">
      <c r="B195" s="672" t="s">
        <v>280</v>
      </c>
      <c r="C195" s="673"/>
      <c r="D195" s="673"/>
      <c r="E195" s="673"/>
      <c r="F195" s="674"/>
    </row>
    <row r="196" spans="1:18" ht="37.5" customHeight="1">
      <c r="B196" s="659" t="s">
        <v>412</v>
      </c>
      <c r="C196" s="660"/>
      <c r="D196" s="181">
        <v>0</v>
      </c>
      <c r="E196" s="176"/>
      <c r="F196" s="177">
        <f>SUM(E196-D196)</f>
        <v>0</v>
      </c>
    </row>
    <row r="197" spans="1:18" ht="18" customHeight="1">
      <c r="B197" s="672" t="s">
        <v>413</v>
      </c>
      <c r="C197" s="673"/>
      <c r="D197" s="673"/>
      <c r="E197" s="673"/>
      <c r="F197" s="674"/>
    </row>
    <row r="198" spans="1:18" ht="27" customHeight="1">
      <c r="B198" s="659" t="s">
        <v>414</v>
      </c>
      <c r="C198" s="548"/>
      <c r="D198" s="181">
        <f>+'Site Costs'!D24</f>
        <v>2200</v>
      </c>
      <c r="E198" s="176"/>
      <c r="F198" s="177">
        <f>SUM(E198-D198)</f>
        <v>-2200</v>
      </c>
    </row>
    <row r="199" spans="1:18" s="307" customFormat="1" ht="18" customHeight="1">
      <c r="A199" s="306"/>
      <c r="B199" s="672" t="s">
        <v>669</v>
      </c>
      <c r="C199" s="673"/>
      <c r="D199" s="673"/>
      <c r="E199" s="673"/>
      <c r="F199" s="674"/>
    </row>
    <row r="200" spans="1:18" s="307" customFormat="1" ht="14.4">
      <c r="A200" s="306"/>
      <c r="B200" s="659" t="s">
        <v>1010</v>
      </c>
      <c r="C200" s="660"/>
      <c r="D200" s="181">
        <v>4000</v>
      </c>
      <c r="E200" s="176"/>
      <c r="F200" s="308">
        <f>SUM(E200-D200)</f>
        <v>-4000</v>
      </c>
    </row>
    <row r="201" spans="1:18" ht="18" customHeight="1">
      <c r="B201" s="672" t="s">
        <v>415</v>
      </c>
      <c r="C201" s="673"/>
      <c r="D201" s="673"/>
      <c r="E201" s="673"/>
      <c r="F201" s="674"/>
    </row>
    <row r="202" spans="1:18" ht="27" customHeight="1">
      <c r="B202" s="659" t="s">
        <v>416</v>
      </c>
      <c r="C202" s="548"/>
      <c r="D202" s="181" t="s">
        <v>417</v>
      </c>
      <c r="E202" s="176"/>
      <c r="F202" s="182" t="s">
        <v>417</v>
      </c>
    </row>
    <row r="203" spans="1:18" ht="18" customHeight="1">
      <c r="A203" s="40"/>
      <c r="B203" s="675" t="s">
        <v>418</v>
      </c>
      <c r="C203" s="676"/>
      <c r="D203" s="676"/>
      <c r="E203" s="676"/>
      <c r="F203" s="677"/>
    </row>
    <row r="204" spans="1:18" ht="18" customHeight="1">
      <c r="A204" s="40"/>
      <c r="B204" s="672" t="s">
        <v>290</v>
      </c>
      <c r="C204" s="673"/>
      <c r="D204" s="673"/>
      <c r="E204" s="673"/>
      <c r="F204" s="674"/>
    </row>
    <row r="205" spans="1:18" ht="18" customHeight="1">
      <c r="A205" s="40"/>
      <c r="B205" s="659" t="s">
        <v>449</v>
      </c>
      <c r="C205" s="572"/>
      <c r="D205" s="181">
        <v>5200</v>
      </c>
      <c r="E205" s="176"/>
      <c r="F205" s="177">
        <f>SUM(E205-D205)</f>
        <v>-5200</v>
      </c>
    </row>
    <row r="206" spans="1:18" ht="18" customHeight="1">
      <c r="A206" s="40"/>
      <c r="B206" s="659" t="s">
        <v>450</v>
      </c>
      <c r="C206" s="572"/>
      <c r="D206" s="181" t="e">
        <f>+CEILING((9.55+24.57)*#REF!+(2*#REF!)+#REF!+(7*#REF!),100)</f>
        <v>#REF!</v>
      </c>
      <c r="E206" s="176"/>
      <c r="F206" s="177" t="e">
        <f>SUM(E206-D206)</f>
        <v>#REF!</v>
      </c>
    </row>
    <row r="207" spans="1:18" ht="18" customHeight="1">
      <c r="A207" s="40"/>
      <c r="B207" s="659" t="s">
        <v>621</v>
      </c>
      <c r="C207" s="572"/>
      <c r="D207" s="181" t="e">
        <f>(6*(#REF!-#REF!)+1*(#REF!-#REF!))</f>
        <v>#REF!</v>
      </c>
      <c r="E207" s="176"/>
      <c r="F207" s="177" t="e">
        <f>SUM(E207-D207)</f>
        <v>#REF!</v>
      </c>
    </row>
    <row r="208" spans="1:18" ht="18" customHeight="1">
      <c r="A208" s="40"/>
      <c r="B208" s="672" t="s">
        <v>292</v>
      </c>
      <c r="C208" s="673"/>
      <c r="D208" s="673"/>
      <c r="E208" s="673"/>
      <c r="F208" s="674"/>
    </row>
    <row r="209" spans="1:8" ht="18" customHeight="1">
      <c r="A209" s="40"/>
      <c r="B209" s="659" t="s">
        <v>455</v>
      </c>
      <c r="C209" s="572"/>
      <c r="D209" s="181" t="e">
        <f>+CEILING((254.78+52.17)*#REF!,50)</f>
        <v>#REF!</v>
      </c>
      <c r="E209" s="176"/>
      <c r="F209" s="177" t="e">
        <f>SUM(E209-D209)</f>
        <v>#REF!</v>
      </c>
    </row>
    <row r="210" spans="1:8" s="147" customFormat="1" ht="26.1" customHeight="1">
      <c r="B210" s="659" t="s">
        <v>622</v>
      </c>
      <c r="C210" s="572"/>
      <c r="D210" s="181">
        <v>22000</v>
      </c>
      <c r="E210" s="176"/>
      <c r="F210" s="177">
        <f>SUM(E210-D210)</f>
        <v>-22000</v>
      </c>
    </row>
    <row r="211" spans="1:8" s="147" customFormat="1" ht="18" customHeight="1">
      <c r="B211" s="672" t="s">
        <v>419</v>
      </c>
      <c r="C211" s="673"/>
      <c r="D211" s="673"/>
      <c r="E211" s="673"/>
      <c r="F211" s="674"/>
    </row>
    <row r="212" spans="1:8" ht="18" customHeight="1">
      <c r="A212" s="40"/>
      <c r="B212" s="659" t="s">
        <v>456</v>
      </c>
      <c r="C212" s="572"/>
      <c r="D212" s="181" t="e">
        <f>38*#REF!</f>
        <v>#REF!</v>
      </c>
      <c r="E212" s="176"/>
      <c r="F212" s="177" t="e">
        <f>SUM(E212-D212)</f>
        <v>#REF!</v>
      </c>
    </row>
    <row r="213" spans="1:8" ht="18" customHeight="1">
      <c r="A213" s="40"/>
      <c r="B213" s="672" t="s">
        <v>669</v>
      </c>
      <c r="C213" s="673"/>
      <c r="D213" s="673"/>
      <c r="E213" s="673"/>
      <c r="F213" s="674"/>
    </row>
    <row r="214" spans="1:8" ht="18" customHeight="1">
      <c r="A214" s="40"/>
      <c r="B214" s="659" t="s">
        <v>626</v>
      </c>
      <c r="C214" s="660"/>
      <c r="D214" s="181" t="e">
        <f>CEILING((17.5*#REF!),10)</f>
        <v>#REF!</v>
      </c>
      <c r="E214" s="176"/>
      <c r="F214" s="177" t="e">
        <f>SUM(E214-D214)</f>
        <v>#REF!</v>
      </c>
    </row>
    <row r="215" spans="1:8" ht="18" customHeight="1">
      <c r="A215" s="40"/>
      <c r="B215" s="659" t="s">
        <v>670</v>
      </c>
      <c r="C215" s="660"/>
      <c r="D215" s="181" t="e">
        <f>+CEILING((#REF!-#REF!)*255,5)</f>
        <v>#REF!</v>
      </c>
      <c r="E215" s="176"/>
      <c r="F215" s="177" t="e">
        <f>SUM(E215-D215)</f>
        <v>#REF!</v>
      </c>
    </row>
    <row r="216" spans="1:8" ht="18" customHeight="1">
      <c r="A216" s="40"/>
      <c r="B216" s="659" t="s">
        <v>671</v>
      </c>
      <c r="C216" s="660"/>
      <c r="D216" s="181" t="e">
        <f>+(#REF!-#REF!)+2*(#REF!-#REF!)</f>
        <v>#REF!</v>
      </c>
      <c r="E216" s="176"/>
      <c r="F216" s="177" t="e">
        <f>SUM(E216-D216)</f>
        <v>#REF!</v>
      </c>
    </row>
    <row r="217" spans="1:8" ht="18" customHeight="1">
      <c r="A217" s="40"/>
      <c r="B217" s="672" t="s">
        <v>420</v>
      </c>
      <c r="C217" s="673"/>
      <c r="D217" s="673"/>
      <c r="E217" s="673"/>
      <c r="F217" s="674"/>
    </row>
    <row r="218" spans="1:8" ht="18" customHeight="1">
      <c r="A218" s="40"/>
      <c r="B218" s="659" t="s">
        <v>451</v>
      </c>
      <c r="C218" s="572"/>
      <c r="D218" s="181">
        <f>7330+1650</f>
        <v>8980</v>
      </c>
      <c r="E218" s="176"/>
      <c r="F218" s="177">
        <f t="shared" ref="F218:F224" si="1">SUM(E218-D218)</f>
        <v>-8980</v>
      </c>
      <c r="H218" s="40" t="s">
        <v>452</v>
      </c>
    </row>
    <row r="219" spans="1:8" ht="18" customHeight="1">
      <c r="A219" s="40"/>
      <c r="B219" s="659" t="s">
        <v>453</v>
      </c>
      <c r="C219" s="572"/>
      <c r="D219" s="181">
        <v>2900</v>
      </c>
      <c r="E219" s="176"/>
      <c r="F219" s="177">
        <f t="shared" si="1"/>
        <v>-2900</v>
      </c>
    </row>
    <row r="220" spans="1:8" ht="18" customHeight="1">
      <c r="A220" s="40"/>
      <c r="B220" s="659" t="s">
        <v>454</v>
      </c>
      <c r="C220" s="572"/>
      <c r="D220" s="181" t="e">
        <f>+#REF!</f>
        <v>#REF!</v>
      </c>
      <c r="E220" s="176"/>
      <c r="F220" s="177" t="e">
        <f t="shared" si="1"/>
        <v>#REF!</v>
      </c>
    </row>
    <row r="221" spans="1:8" ht="18" customHeight="1">
      <c r="A221" s="40"/>
      <c r="B221" s="659" t="s">
        <v>623</v>
      </c>
      <c r="C221" s="572"/>
      <c r="D221" s="181" t="e">
        <f>95*#REF!</f>
        <v>#REF!</v>
      </c>
      <c r="E221" s="176"/>
      <c r="F221" s="177" t="e">
        <f t="shared" si="1"/>
        <v>#REF!</v>
      </c>
      <c r="H221" s="40" t="s">
        <v>457</v>
      </c>
    </row>
    <row r="222" spans="1:8" ht="18" customHeight="1">
      <c r="A222" s="40"/>
      <c r="B222" s="659" t="s">
        <v>624</v>
      </c>
      <c r="C222" s="572"/>
      <c r="D222" s="181" t="e">
        <f>2*#REF!</f>
        <v>#REF!</v>
      </c>
      <c r="E222" s="176"/>
      <c r="F222" s="177" t="e">
        <f t="shared" si="1"/>
        <v>#REF!</v>
      </c>
    </row>
    <row r="223" spans="1:8" ht="18" customHeight="1">
      <c r="A223" s="40"/>
      <c r="B223" s="659" t="s">
        <v>625</v>
      </c>
      <c r="C223" s="572"/>
      <c r="D223" s="181">
        <v>250</v>
      </c>
      <c r="E223" s="176"/>
      <c r="F223" s="177">
        <f t="shared" si="1"/>
        <v>-250</v>
      </c>
    </row>
    <row r="224" spans="1:8" ht="18" customHeight="1">
      <c r="A224" s="40"/>
      <c r="B224" s="659" t="s">
        <v>683</v>
      </c>
      <c r="C224" s="660"/>
      <c r="D224" s="181">
        <v>750</v>
      </c>
      <c r="E224" s="176"/>
      <c r="F224" s="177">
        <f t="shared" si="1"/>
        <v>-750</v>
      </c>
    </row>
    <row r="225" spans="1:6" s="147" customFormat="1" ht="18" customHeight="1">
      <c r="B225" s="672" t="s">
        <v>627</v>
      </c>
      <c r="C225" s="673"/>
      <c r="D225" s="673"/>
      <c r="E225" s="673"/>
      <c r="F225" s="674"/>
    </row>
    <row r="226" spans="1:6" ht="18" customHeight="1">
      <c r="A226" s="40"/>
      <c r="B226" s="659" t="s">
        <v>865</v>
      </c>
      <c r="C226" s="572"/>
      <c r="D226" s="181" t="e">
        <f>12*(#REF!-#REF!)</f>
        <v>#REF!</v>
      </c>
      <c r="E226" s="176"/>
      <c r="F226" s="177" t="e">
        <f>SUM(E226-D226)</f>
        <v>#REF!</v>
      </c>
    </row>
    <row r="227" spans="1:6" ht="18" customHeight="1">
      <c r="A227" s="40"/>
      <c r="B227" s="659" t="s">
        <v>866</v>
      </c>
      <c r="C227" s="572"/>
      <c r="D227" s="181">
        <f>12*175</f>
        <v>2100</v>
      </c>
      <c r="E227" s="176"/>
      <c r="F227" s="177">
        <f>SUM(E227-D227)</f>
        <v>-2100</v>
      </c>
    </row>
    <row r="228" spans="1:6" ht="18" customHeight="1">
      <c r="A228" s="40"/>
      <c r="B228" s="659" t="s">
        <v>867</v>
      </c>
      <c r="C228" s="572"/>
      <c r="D228" s="181">
        <f>6*50</f>
        <v>300</v>
      </c>
      <c r="E228" s="176"/>
      <c r="F228" s="177">
        <f>SUM(E228-D228)</f>
        <v>-300</v>
      </c>
    </row>
    <row r="229" spans="1:6" ht="18" customHeight="1">
      <c r="B229" s="672" t="s">
        <v>628</v>
      </c>
      <c r="C229" s="673"/>
      <c r="D229" s="673"/>
      <c r="E229" s="673"/>
      <c r="F229" s="674"/>
    </row>
    <row r="230" spans="1:6" ht="18" customHeight="1">
      <c r="A230" s="40"/>
      <c r="B230" s="666" t="s">
        <v>629</v>
      </c>
      <c r="C230" s="570"/>
      <c r="D230" s="181">
        <v>2850</v>
      </c>
      <c r="E230" s="176"/>
      <c r="F230" s="177">
        <f>SUM(E230-D230)</f>
        <v>-2850</v>
      </c>
    </row>
    <row r="231" spans="1:6" ht="18" customHeight="1">
      <c r="A231" s="40"/>
      <c r="B231" s="666" t="s">
        <v>630</v>
      </c>
      <c r="C231" s="570"/>
      <c r="D231" s="181">
        <v>2850</v>
      </c>
      <c r="E231" s="176"/>
      <c r="F231" s="177">
        <f>SUM(E231-D231)</f>
        <v>-2850</v>
      </c>
    </row>
    <row r="232" spans="1:6" ht="18" customHeight="1">
      <c r="A232" s="40"/>
      <c r="B232" s="666" t="s">
        <v>631</v>
      </c>
      <c r="C232" s="570"/>
      <c r="D232" s="181">
        <v>6500</v>
      </c>
      <c r="E232" s="176"/>
      <c r="F232" s="177">
        <f>SUM(E232-D232)</f>
        <v>-6500</v>
      </c>
    </row>
    <row r="233" spans="1:6" ht="18" customHeight="1">
      <c r="A233" s="40"/>
      <c r="B233" s="666" t="s">
        <v>682</v>
      </c>
      <c r="C233" s="570"/>
      <c r="D233" s="181">
        <f>3220+500</f>
        <v>3720</v>
      </c>
      <c r="E233" s="176"/>
      <c r="F233" s="177">
        <f>SUM(E233-D233)</f>
        <v>-3720</v>
      </c>
    </row>
    <row r="234" spans="1:6" ht="18" customHeight="1">
      <c r="A234" s="40"/>
      <c r="B234" s="672" t="s">
        <v>310</v>
      </c>
      <c r="C234" s="673"/>
      <c r="D234" s="673"/>
      <c r="E234" s="673"/>
      <c r="F234" s="674"/>
    </row>
    <row r="235" spans="1:6" ht="18" customHeight="1">
      <c r="A235" s="40"/>
      <c r="B235" s="666"/>
      <c r="C235" s="570"/>
      <c r="D235" s="181">
        <v>0</v>
      </c>
      <c r="E235" s="176"/>
      <c r="F235" s="177">
        <f>SUM(E235-D235)</f>
        <v>0</v>
      </c>
    </row>
    <row r="236" spans="1:6" ht="18" customHeight="1">
      <c r="A236" s="40"/>
      <c r="B236" s="666"/>
      <c r="C236" s="570"/>
      <c r="D236" s="181">
        <v>0</v>
      </c>
      <c r="E236" s="176"/>
      <c r="F236" s="177">
        <f>SUM(E236-D236)</f>
        <v>0</v>
      </c>
    </row>
    <row r="237" spans="1:6" s="147" customFormat="1" ht="18" customHeight="1">
      <c r="B237" s="672" t="s">
        <v>632</v>
      </c>
      <c r="C237" s="673"/>
      <c r="D237" s="673"/>
      <c r="E237" s="673"/>
      <c r="F237" s="674"/>
    </row>
    <row r="238" spans="1:6" ht="18" customHeight="1">
      <c r="A238" s="40"/>
      <c r="B238" s="659" t="s">
        <v>633</v>
      </c>
      <c r="C238" s="572"/>
      <c r="D238" s="181" t="e">
        <f>CEILING((#REF!*5)+(6.5*#REF!)+#REF!+#REF!,10)</f>
        <v>#REF!</v>
      </c>
      <c r="E238" s="176"/>
      <c r="F238" s="177" t="e">
        <f>SUM(E238-D238)</f>
        <v>#REF!</v>
      </c>
    </row>
    <row r="239" spans="1:6" ht="18" customHeight="1">
      <c r="A239" s="40"/>
      <c r="B239" s="659" t="s">
        <v>634</v>
      </c>
      <c r="C239" s="572"/>
      <c r="D239" s="181" t="e">
        <f>CEILING(9*#REF!,5)</f>
        <v>#REF!</v>
      </c>
      <c r="E239" s="176"/>
      <c r="F239" s="177" t="e">
        <f>SUM(E239-D239)</f>
        <v>#REF!</v>
      </c>
    </row>
    <row r="240" spans="1:6" ht="18" customHeight="1">
      <c r="A240" s="40"/>
      <c r="B240" s="659" t="s">
        <v>635</v>
      </c>
      <c r="C240" s="572"/>
      <c r="D240" s="181" t="e">
        <f>#REF!+11*#REF!+#REF!</f>
        <v>#REF!</v>
      </c>
      <c r="E240" s="176"/>
      <c r="F240" s="177" t="e">
        <f>SUM(E240-D240)</f>
        <v>#REF!</v>
      </c>
    </row>
    <row r="241" spans="1:6" ht="18" customHeight="1">
      <c r="A241" s="40"/>
      <c r="B241" s="659" t="s">
        <v>636</v>
      </c>
      <c r="C241" s="572"/>
      <c r="D241" s="181" t="e">
        <f>CEILING(#REF!+2*#REF!+#REF!+#REF!+#REF!,5)</f>
        <v>#REF!</v>
      </c>
      <c r="E241" s="176"/>
      <c r="F241" s="177" t="e">
        <f>SUM(E241-D241)</f>
        <v>#REF!</v>
      </c>
    </row>
    <row r="242" spans="1:6" ht="18" customHeight="1">
      <c r="A242" s="40"/>
      <c r="B242" s="659" t="s">
        <v>637</v>
      </c>
      <c r="C242" s="572"/>
      <c r="D242" s="181" t="s">
        <v>417</v>
      </c>
      <c r="E242" s="176"/>
      <c r="F242" s="177">
        <v>0</v>
      </c>
    </row>
    <row r="243" spans="1:6" ht="18" customHeight="1">
      <c r="A243" s="40"/>
      <c r="B243" s="672" t="s">
        <v>324</v>
      </c>
      <c r="C243" s="673"/>
      <c r="D243" s="673"/>
      <c r="E243" s="673"/>
      <c r="F243" s="674"/>
    </row>
    <row r="244" spans="1:6" ht="18" customHeight="1">
      <c r="A244" s="40"/>
      <c r="B244" s="666" t="s">
        <v>458</v>
      </c>
      <c r="C244" s="570"/>
      <c r="D244" s="181" t="e">
        <f>+#REF!</f>
        <v>#REF!</v>
      </c>
      <c r="E244" s="176"/>
      <c r="F244" s="177" t="e">
        <f t="shared" ref="F244:F255" si="2">SUM(E244-D244)</f>
        <v>#REF!</v>
      </c>
    </row>
    <row r="245" spans="1:6" ht="26.1" customHeight="1">
      <c r="A245" s="40"/>
      <c r="B245" s="666" t="s">
        <v>459</v>
      </c>
      <c r="C245" s="570"/>
      <c r="D245" s="181" t="e">
        <f>+#REF!+#REF!+#REF!-#REF!-#REF!-#REF!</f>
        <v>#REF!</v>
      </c>
      <c r="E245" s="176"/>
      <c r="F245" s="177" t="e">
        <f t="shared" si="2"/>
        <v>#REF!</v>
      </c>
    </row>
    <row r="246" spans="1:6" ht="18" customHeight="1">
      <c r="A246" s="40"/>
      <c r="B246" s="666" t="s">
        <v>460</v>
      </c>
      <c r="C246" s="570"/>
      <c r="D246" s="181">
        <f>100*4</f>
        <v>400</v>
      </c>
      <c r="E246" s="176"/>
      <c r="F246" s="177">
        <f t="shared" si="2"/>
        <v>-400</v>
      </c>
    </row>
    <row r="247" spans="1:6" ht="18" customHeight="1">
      <c r="A247" s="40"/>
      <c r="B247" s="666" t="s">
        <v>638</v>
      </c>
      <c r="C247" s="570"/>
      <c r="D247" s="181">
        <f>120*4</f>
        <v>480</v>
      </c>
      <c r="E247" s="176"/>
      <c r="F247" s="177">
        <f>SUM(E247-D247)</f>
        <v>-480</v>
      </c>
    </row>
    <row r="248" spans="1:6" ht="18" customHeight="1">
      <c r="A248" s="40"/>
      <c r="B248" s="666" t="s">
        <v>461</v>
      </c>
      <c r="C248" s="570"/>
      <c r="D248" s="181" t="e">
        <f>+#REF!</f>
        <v>#REF!</v>
      </c>
      <c r="E248" s="176"/>
      <c r="F248" s="177" t="e">
        <f t="shared" si="2"/>
        <v>#REF!</v>
      </c>
    </row>
    <row r="249" spans="1:6" ht="18" customHeight="1">
      <c r="A249" s="40"/>
      <c r="B249" s="666" t="s">
        <v>462</v>
      </c>
      <c r="C249" s="570"/>
      <c r="D249" s="181" t="e">
        <f>4*#REF!</f>
        <v>#REF!</v>
      </c>
      <c r="E249" s="176"/>
      <c r="F249" s="177" t="e">
        <f t="shared" si="2"/>
        <v>#REF!</v>
      </c>
    </row>
    <row r="250" spans="1:6" ht="18" customHeight="1">
      <c r="A250" s="40"/>
      <c r="B250" s="666" t="s">
        <v>639</v>
      </c>
      <c r="C250" s="570"/>
      <c r="D250" s="181">
        <v>5000</v>
      </c>
      <c r="E250" s="176"/>
      <c r="F250" s="177">
        <f t="shared" si="2"/>
        <v>-5000</v>
      </c>
    </row>
    <row r="251" spans="1:6" ht="18" customHeight="1">
      <c r="A251" s="40"/>
      <c r="B251" s="659" t="s">
        <v>463</v>
      </c>
      <c r="C251" s="572"/>
      <c r="D251" s="181" t="e">
        <f>((20+14)*#REF!+(11+35+14)*#REF!)</f>
        <v>#REF!</v>
      </c>
      <c r="E251" s="176"/>
      <c r="F251" s="177" t="e">
        <f t="shared" si="2"/>
        <v>#REF!</v>
      </c>
    </row>
    <row r="252" spans="1:6" ht="18" customHeight="1">
      <c r="A252" s="40"/>
      <c r="B252" s="659" t="s">
        <v>464</v>
      </c>
      <c r="C252" s="572"/>
      <c r="D252" s="181" t="e">
        <f>+#REF!</f>
        <v>#REF!</v>
      </c>
      <c r="E252" s="176"/>
      <c r="F252" s="177" t="e">
        <f t="shared" si="2"/>
        <v>#REF!</v>
      </c>
    </row>
    <row r="253" spans="1:6" ht="18" customHeight="1">
      <c r="A253" s="40"/>
      <c r="B253" s="659" t="s">
        <v>465</v>
      </c>
      <c r="C253" s="572"/>
      <c r="D253" s="181">
        <v>740</v>
      </c>
      <c r="E253" s="176"/>
      <c r="F253" s="177">
        <f t="shared" si="2"/>
        <v>-740</v>
      </c>
    </row>
    <row r="254" spans="1:6" ht="18" customHeight="1">
      <c r="A254" s="40"/>
      <c r="B254" s="659" t="s">
        <v>466</v>
      </c>
      <c r="C254" s="572"/>
      <c r="D254" s="181" t="e">
        <f>+#REF!-#REF!</f>
        <v>#REF!</v>
      </c>
      <c r="E254" s="176"/>
      <c r="F254" s="177" t="e">
        <f t="shared" si="2"/>
        <v>#REF!</v>
      </c>
    </row>
    <row r="255" spans="1:6" ht="18" customHeight="1">
      <c r="A255" s="40"/>
      <c r="B255" s="659" t="s">
        <v>640</v>
      </c>
      <c r="C255" s="572"/>
      <c r="D255" s="181">
        <v>390</v>
      </c>
      <c r="E255" s="176"/>
      <c r="F255" s="177">
        <f t="shared" si="2"/>
        <v>-390</v>
      </c>
    </row>
    <row r="256" spans="1:6" ht="18" customHeight="1">
      <c r="A256" s="40"/>
      <c r="B256" s="672" t="s">
        <v>421</v>
      </c>
      <c r="C256" s="673"/>
      <c r="D256" s="673"/>
      <c r="E256" s="673"/>
      <c r="F256" s="674"/>
    </row>
    <row r="257" spans="1:8" ht="18" customHeight="1">
      <c r="A257" s="40"/>
      <c r="B257" s="666" t="s">
        <v>467</v>
      </c>
      <c r="C257" s="570"/>
      <c r="D257" s="181" t="e">
        <f>200+#REF!</f>
        <v>#REF!</v>
      </c>
      <c r="E257" s="176"/>
      <c r="F257" s="177" t="e">
        <f t="shared" ref="F257:F263" si="3">SUM(E257-D257)</f>
        <v>#REF!</v>
      </c>
    </row>
    <row r="258" spans="1:8" ht="18" customHeight="1">
      <c r="A258" s="40"/>
      <c r="B258" s="666" t="s">
        <v>468</v>
      </c>
      <c r="C258" s="570"/>
      <c r="D258" s="181">
        <f>90+90</f>
        <v>180</v>
      </c>
      <c r="E258" s="176"/>
      <c r="F258" s="177">
        <f t="shared" si="3"/>
        <v>-180</v>
      </c>
    </row>
    <row r="259" spans="1:8" ht="18" customHeight="1">
      <c r="A259" s="40"/>
      <c r="B259" s="659" t="s">
        <v>469</v>
      </c>
      <c r="C259" s="572"/>
      <c r="D259" s="181" t="e">
        <f>CEILING(1.8*#REF!+200,10)</f>
        <v>#REF!</v>
      </c>
      <c r="E259" s="183"/>
      <c r="F259" s="177" t="e">
        <f t="shared" si="3"/>
        <v>#REF!</v>
      </c>
      <c r="H259" s="40" t="s">
        <v>641</v>
      </c>
    </row>
    <row r="260" spans="1:8" ht="18" customHeight="1">
      <c r="B260" s="666" t="s">
        <v>642</v>
      </c>
      <c r="C260" s="570"/>
      <c r="D260" s="181">
        <v>140</v>
      </c>
      <c r="E260" s="176"/>
      <c r="F260" s="177">
        <f>SUM(E260-D260)</f>
        <v>-140</v>
      </c>
    </row>
    <row r="261" spans="1:8" ht="18" customHeight="1">
      <c r="B261" s="666" t="s">
        <v>643</v>
      </c>
      <c r="C261" s="570"/>
      <c r="D261" s="181">
        <v>50</v>
      </c>
      <c r="E261" s="176"/>
      <c r="F261" s="177">
        <f>SUM(E261-D261)</f>
        <v>-50</v>
      </c>
    </row>
    <row r="262" spans="1:8" ht="18" customHeight="1">
      <c r="A262" s="40"/>
      <c r="B262" s="659" t="s">
        <v>470</v>
      </c>
      <c r="C262" s="572"/>
      <c r="D262" s="181" t="e">
        <f>18*#REF!</f>
        <v>#REF!</v>
      </c>
      <c r="E262" s="183"/>
      <c r="F262" s="177" t="e">
        <f t="shared" si="3"/>
        <v>#REF!</v>
      </c>
    </row>
    <row r="263" spans="1:8" ht="18" customHeight="1">
      <c r="A263" s="40"/>
      <c r="B263" s="659" t="s">
        <v>471</v>
      </c>
      <c r="C263" s="572"/>
      <c r="D263" s="181">
        <f>50*2</f>
        <v>100</v>
      </c>
      <c r="E263" s="183"/>
      <c r="F263" s="177">
        <f t="shared" si="3"/>
        <v>-100</v>
      </c>
    </row>
    <row r="264" spans="1:8" ht="18" customHeight="1">
      <c r="A264" s="40"/>
      <c r="B264" s="672" t="s">
        <v>473</v>
      </c>
      <c r="C264" s="673"/>
      <c r="D264" s="673"/>
      <c r="E264" s="673"/>
      <c r="F264" s="674"/>
    </row>
    <row r="265" spans="1:8" ht="18" customHeight="1">
      <c r="B265" s="666" t="s">
        <v>643</v>
      </c>
      <c r="C265" s="570"/>
      <c r="D265" s="181">
        <v>50</v>
      </c>
      <c r="E265" s="176"/>
      <c r="F265" s="177">
        <f>SUM(E265-D265)</f>
        <v>-50</v>
      </c>
    </row>
    <row r="266" spans="1:8" ht="18" customHeight="1">
      <c r="A266" s="40"/>
      <c r="B266" s="659" t="s">
        <v>472</v>
      </c>
      <c r="C266" s="572"/>
      <c r="D266" s="181">
        <v>105</v>
      </c>
      <c r="E266" s="183"/>
      <c r="F266" s="177">
        <f>SUM(E266-D266)</f>
        <v>-105</v>
      </c>
    </row>
    <row r="267" spans="1:8" ht="18" customHeight="1">
      <c r="A267" s="40"/>
      <c r="B267" s="672" t="s">
        <v>422</v>
      </c>
      <c r="C267" s="673"/>
      <c r="D267" s="673"/>
      <c r="E267" s="673"/>
      <c r="F267" s="674"/>
    </row>
    <row r="268" spans="1:8" ht="18" customHeight="1">
      <c r="A268" s="40"/>
      <c r="B268" s="666" t="s">
        <v>474</v>
      </c>
      <c r="C268" s="571"/>
      <c r="D268" s="181">
        <v>200</v>
      </c>
      <c r="E268" s="176"/>
      <c r="F268" s="177">
        <f t="shared" ref="F268:F273" si="4">SUM(E268-D268)</f>
        <v>-200</v>
      </c>
    </row>
    <row r="269" spans="1:8" ht="18" customHeight="1">
      <c r="A269" s="40"/>
      <c r="B269" s="666" t="s">
        <v>475</v>
      </c>
      <c r="C269" s="570"/>
      <c r="D269" s="181">
        <v>90</v>
      </c>
      <c r="E269" s="176"/>
      <c r="F269" s="177">
        <f t="shared" si="4"/>
        <v>-90</v>
      </c>
    </row>
    <row r="270" spans="1:8" ht="18" customHeight="1">
      <c r="A270" s="40"/>
      <c r="B270" s="666" t="s">
        <v>644</v>
      </c>
      <c r="C270" s="571"/>
      <c r="D270" s="181">
        <v>150</v>
      </c>
      <c r="E270" s="176"/>
      <c r="F270" s="177">
        <f t="shared" si="4"/>
        <v>-150</v>
      </c>
    </row>
    <row r="271" spans="1:8" ht="18" customHeight="1">
      <c r="A271" s="40"/>
      <c r="B271" s="659" t="s">
        <v>470</v>
      </c>
      <c r="C271" s="572"/>
      <c r="D271" s="181" t="e">
        <f>9*#REF!</f>
        <v>#REF!</v>
      </c>
      <c r="E271" s="176"/>
      <c r="F271" s="177" t="e">
        <f t="shared" si="4"/>
        <v>#REF!</v>
      </c>
    </row>
    <row r="272" spans="1:8" ht="18" customHeight="1">
      <c r="A272" s="40"/>
      <c r="B272" s="659" t="s">
        <v>476</v>
      </c>
      <c r="C272" s="572"/>
      <c r="D272" s="181">
        <v>1840</v>
      </c>
      <c r="E272" s="176"/>
      <c r="F272" s="177">
        <f t="shared" si="4"/>
        <v>-1840</v>
      </c>
    </row>
    <row r="273" spans="1:6" ht="18" customHeight="1">
      <c r="A273" s="40"/>
      <c r="B273" s="659" t="s">
        <v>477</v>
      </c>
      <c r="C273" s="572"/>
      <c r="D273" s="181">
        <v>300</v>
      </c>
      <c r="E273" s="176"/>
      <c r="F273" s="177">
        <f t="shared" si="4"/>
        <v>-300</v>
      </c>
    </row>
    <row r="274" spans="1:6" s="147" customFormat="1" ht="18" customHeight="1">
      <c r="B274" s="672" t="s">
        <v>645</v>
      </c>
      <c r="C274" s="673"/>
      <c r="D274" s="673"/>
      <c r="E274" s="673"/>
      <c r="F274" s="674"/>
    </row>
    <row r="275" spans="1:6" ht="18" customHeight="1">
      <c r="A275" s="40"/>
      <c r="B275" s="666" t="s">
        <v>474</v>
      </c>
      <c r="C275" s="571"/>
      <c r="D275" s="181">
        <v>200</v>
      </c>
      <c r="E275" s="176"/>
      <c r="F275" s="177">
        <f>SUM(E275-D275)</f>
        <v>-200</v>
      </c>
    </row>
    <row r="276" spans="1:6" ht="18" customHeight="1">
      <c r="A276" s="40"/>
      <c r="B276" s="666" t="s">
        <v>475</v>
      </c>
      <c r="C276" s="570"/>
      <c r="D276" s="181">
        <v>90</v>
      </c>
      <c r="E276" s="176"/>
      <c r="F276" s="177">
        <f>SUM(E276-D276)</f>
        <v>-90</v>
      </c>
    </row>
    <row r="277" spans="1:6" ht="18" customHeight="1">
      <c r="A277" s="40"/>
      <c r="B277" s="666" t="s">
        <v>644</v>
      </c>
      <c r="C277" s="571"/>
      <c r="D277" s="181">
        <v>150</v>
      </c>
      <c r="E277" s="176"/>
      <c r="F277" s="177">
        <f>SUM(E277-D277)</f>
        <v>-150</v>
      </c>
    </row>
    <row r="278" spans="1:6" ht="18" customHeight="1">
      <c r="A278" s="40"/>
      <c r="B278" s="659" t="s">
        <v>1007</v>
      </c>
      <c r="C278" s="572"/>
      <c r="D278" s="181">
        <v>480</v>
      </c>
      <c r="E278" s="176"/>
      <c r="F278" s="177">
        <f t="shared" ref="F278" si="5">SUM(E278-D278)</f>
        <v>-480</v>
      </c>
    </row>
    <row r="279" spans="1:6" ht="18" customHeight="1">
      <c r="A279" s="40"/>
      <c r="B279" s="666" t="s">
        <v>673</v>
      </c>
      <c r="C279" s="571"/>
      <c r="D279" s="181" t="e">
        <f>CEILING(#REF!*3.4,5)</f>
        <v>#REF!</v>
      </c>
      <c r="E279" s="176"/>
      <c r="F279" s="177" t="e">
        <f>SUM(E279-D279)</f>
        <v>#REF!</v>
      </c>
    </row>
    <row r="280" spans="1:6" s="147" customFormat="1" ht="18" customHeight="1">
      <c r="B280" s="672" t="s">
        <v>346</v>
      </c>
      <c r="C280" s="673"/>
      <c r="D280" s="673"/>
      <c r="E280" s="673"/>
      <c r="F280" s="674"/>
    </row>
    <row r="281" spans="1:6" s="147" customFormat="1" ht="18" customHeight="1">
      <c r="B281" s="666" t="s">
        <v>478</v>
      </c>
      <c r="C281" s="571"/>
      <c r="D281" s="181" t="e">
        <f>8*#REF!</f>
        <v>#REF!</v>
      </c>
      <c r="E281" s="176"/>
      <c r="F281" s="177" t="e">
        <f>SUM(E281-D281)</f>
        <v>#REF!</v>
      </c>
    </row>
    <row r="282" spans="1:6" s="147" customFormat="1" ht="18" customHeight="1">
      <c r="B282" s="666" t="s">
        <v>479</v>
      </c>
      <c r="C282" s="571"/>
      <c r="D282" s="181">
        <v>110</v>
      </c>
      <c r="E282" s="176"/>
      <c r="F282" s="177">
        <f>SUM(E282-D282)</f>
        <v>-110</v>
      </c>
    </row>
    <row r="283" spans="1:6" s="147" customFormat="1" ht="18" customHeight="1">
      <c r="B283" s="672" t="s">
        <v>423</v>
      </c>
      <c r="C283" s="673"/>
      <c r="D283" s="673"/>
      <c r="E283" s="673"/>
      <c r="F283" s="674"/>
    </row>
    <row r="284" spans="1:6" s="147" customFormat="1" ht="18" customHeight="1">
      <c r="B284" s="666" t="s">
        <v>646</v>
      </c>
      <c r="C284" s="571"/>
      <c r="D284" s="181" t="e">
        <f>56*#REF!</f>
        <v>#REF!</v>
      </c>
      <c r="E284" s="176"/>
      <c r="F284" s="177" t="e">
        <f t="shared" ref="F284:F289" si="6">SUM(E284-D284)</f>
        <v>#REF!</v>
      </c>
    </row>
    <row r="285" spans="1:6" s="147" customFormat="1" ht="18" customHeight="1">
      <c r="B285" s="666" t="s">
        <v>647</v>
      </c>
      <c r="C285" s="571"/>
      <c r="D285" s="181">
        <v>50</v>
      </c>
      <c r="E285" s="176"/>
      <c r="F285" s="177">
        <f t="shared" si="6"/>
        <v>-50</v>
      </c>
    </row>
    <row r="286" spans="1:6" s="147" customFormat="1" ht="18" customHeight="1">
      <c r="B286" s="666" t="s">
        <v>648</v>
      </c>
      <c r="C286" s="571"/>
      <c r="D286" s="181">
        <f>260*2</f>
        <v>520</v>
      </c>
      <c r="E286" s="176"/>
      <c r="F286" s="177">
        <f t="shared" si="6"/>
        <v>-520</v>
      </c>
    </row>
    <row r="287" spans="1:6" s="147" customFormat="1" ht="18" customHeight="1">
      <c r="B287" s="666" t="s">
        <v>649</v>
      </c>
      <c r="C287" s="571"/>
      <c r="D287" s="181">
        <v>125</v>
      </c>
      <c r="E287" s="176"/>
      <c r="F287" s="177">
        <f t="shared" si="6"/>
        <v>-125</v>
      </c>
    </row>
    <row r="288" spans="1:6" s="147" customFormat="1" ht="18" customHeight="1">
      <c r="B288" s="666" t="s">
        <v>650</v>
      </c>
      <c r="C288" s="571"/>
      <c r="D288" s="181">
        <f>2*140</f>
        <v>280</v>
      </c>
      <c r="E288" s="176"/>
      <c r="F288" s="177">
        <f t="shared" si="6"/>
        <v>-280</v>
      </c>
    </row>
    <row r="289" spans="1:6" s="147" customFormat="1" ht="18" customHeight="1">
      <c r="B289" s="666" t="s">
        <v>681</v>
      </c>
      <c r="C289" s="571"/>
      <c r="D289" s="181">
        <f>2*160</f>
        <v>320</v>
      </c>
      <c r="E289" s="176"/>
      <c r="F289" s="177">
        <f t="shared" si="6"/>
        <v>-320</v>
      </c>
    </row>
    <row r="290" spans="1:6" s="147" customFormat="1" ht="18" customHeight="1">
      <c r="B290" s="672" t="s">
        <v>358</v>
      </c>
      <c r="C290" s="673"/>
      <c r="D290" s="673"/>
      <c r="E290" s="673"/>
      <c r="F290" s="674"/>
    </row>
    <row r="291" spans="1:6" s="147" customFormat="1" ht="18" customHeight="1">
      <c r="B291" s="666" t="s">
        <v>1008</v>
      </c>
      <c r="C291" s="571"/>
      <c r="D291" s="181">
        <v>500</v>
      </c>
      <c r="E291" s="176"/>
      <c r="F291" s="177">
        <f t="shared" ref="F291:F296" si="7">SUM(E291-D291)</f>
        <v>-500</v>
      </c>
    </row>
    <row r="292" spans="1:6" s="147" customFormat="1" ht="18" customHeight="1">
      <c r="B292" s="666" t="s">
        <v>651</v>
      </c>
      <c r="C292" s="571"/>
      <c r="D292" s="181" t="e">
        <f>31*#REF!</f>
        <v>#REF!</v>
      </c>
      <c r="E292" s="176"/>
      <c r="F292" s="177" t="e">
        <f t="shared" si="7"/>
        <v>#REF!</v>
      </c>
    </row>
    <row r="293" spans="1:6" s="147" customFormat="1" ht="18" customHeight="1">
      <c r="B293" s="666" t="s">
        <v>652</v>
      </c>
      <c r="C293" s="571"/>
      <c r="D293" s="181" t="e">
        <f>64*#REF!</f>
        <v>#REF!</v>
      </c>
      <c r="E293" s="176"/>
      <c r="F293" s="177" t="e">
        <f t="shared" si="7"/>
        <v>#REF!</v>
      </c>
    </row>
    <row r="294" spans="1:6" s="147" customFormat="1" ht="18" customHeight="1">
      <c r="B294" s="666" t="s">
        <v>653</v>
      </c>
      <c r="C294" s="571"/>
      <c r="D294" s="181" t="e">
        <f>2*#REF!</f>
        <v>#REF!</v>
      </c>
      <c r="E294" s="176"/>
      <c r="F294" s="177" t="e">
        <f t="shared" si="7"/>
        <v>#REF!</v>
      </c>
    </row>
    <row r="295" spans="1:6" s="147" customFormat="1" ht="18" customHeight="1">
      <c r="B295" s="666" t="s">
        <v>654</v>
      </c>
      <c r="C295" s="571"/>
      <c r="D295" s="181" t="e">
        <f>2*#REF!</f>
        <v>#REF!</v>
      </c>
      <c r="E295" s="176"/>
      <c r="F295" s="177" t="e">
        <f t="shared" si="7"/>
        <v>#REF!</v>
      </c>
    </row>
    <row r="296" spans="1:6" s="147" customFormat="1" ht="18" customHeight="1">
      <c r="B296" s="666" t="s">
        <v>507</v>
      </c>
      <c r="C296" s="571"/>
      <c r="D296" s="181" t="e">
        <f>+#REF!</f>
        <v>#REF!</v>
      </c>
      <c r="E296" s="176"/>
      <c r="F296" s="177" t="e">
        <f t="shared" si="7"/>
        <v>#REF!</v>
      </c>
    </row>
    <row r="297" spans="1:6" s="147" customFormat="1" ht="18" customHeight="1">
      <c r="B297" s="672" t="s">
        <v>370</v>
      </c>
      <c r="C297" s="673"/>
      <c r="D297" s="673"/>
      <c r="E297" s="673"/>
      <c r="F297" s="674"/>
    </row>
    <row r="298" spans="1:6" s="147" customFormat="1" ht="18" customHeight="1">
      <c r="B298" s="666" t="s">
        <v>655</v>
      </c>
      <c r="C298" s="571"/>
      <c r="D298" s="181">
        <v>13300</v>
      </c>
      <c r="E298" s="176"/>
      <c r="F298" s="177">
        <f>SUM(E298-D298)</f>
        <v>-13300</v>
      </c>
    </row>
    <row r="299" spans="1:6" s="147" customFormat="1" ht="18" customHeight="1">
      <c r="B299" s="672" t="s">
        <v>379</v>
      </c>
      <c r="C299" s="673"/>
      <c r="D299" s="673"/>
      <c r="E299" s="673"/>
      <c r="F299" s="674"/>
    </row>
    <row r="300" spans="1:6" s="147" customFormat="1" ht="18" customHeight="1">
      <c r="B300" s="666" t="s">
        <v>656</v>
      </c>
      <c r="C300" s="571"/>
      <c r="D300" s="181" t="e">
        <f>CEILING(88*(#REF!-#REF!),10)</f>
        <v>#REF!</v>
      </c>
      <c r="E300" s="176"/>
      <c r="F300" s="177" t="e">
        <f>SUM(E300-D300)</f>
        <v>#REF!</v>
      </c>
    </row>
    <row r="301" spans="1:6" s="147" customFormat="1" ht="18" customHeight="1">
      <c r="B301" s="666" t="s">
        <v>657</v>
      </c>
      <c r="C301" s="571"/>
      <c r="D301" s="181">
        <f>CEILING(103*(88-60),10)</f>
        <v>2890</v>
      </c>
      <c r="E301" s="176"/>
      <c r="F301" s="177">
        <f>SUM(E301-D301)</f>
        <v>-2890</v>
      </c>
    </row>
    <row r="302" spans="1:6" s="147" customFormat="1" ht="18" customHeight="1">
      <c r="B302" s="672" t="s">
        <v>677</v>
      </c>
      <c r="C302" s="673"/>
      <c r="D302" s="673"/>
      <c r="E302" s="673"/>
      <c r="F302" s="674"/>
    </row>
    <row r="303" spans="1:6" ht="18" customHeight="1">
      <c r="A303" s="40"/>
      <c r="B303" s="659" t="s">
        <v>678</v>
      </c>
      <c r="C303" s="572"/>
      <c r="D303" s="181">
        <v>600</v>
      </c>
      <c r="E303" s="176"/>
      <c r="F303" s="177">
        <f t="shared" ref="F303:F308" si="8">SUM(E303-D303)</f>
        <v>-600</v>
      </c>
    </row>
    <row r="304" spans="1:6" ht="18" customHeight="1">
      <c r="A304" s="40"/>
      <c r="B304" s="659" t="s">
        <v>679</v>
      </c>
      <c r="C304" s="572"/>
      <c r="D304" s="181" t="e">
        <f>15*#REF!</f>
        <v>#REF!</v>
      </c>
      <c r="E304" s="183"/>
      <c r="F304" s="177" t="e">
        <f t="shared" si="8"/>
        <v>#REF!</v>
      </c>
    </row>
    <row r="305" spans="1:6" ht="18" customHeight="1">
      <c r="A305" s="40"/>
      <c r="B305" s="659" t="s">
        <v>675</v>
      </c>
      <c r="C305" s="572"/>
      <c r="D305" s="181">
        <v>1675</v>
      </c>
      <c r="E305" s="183"/>
      <c r="F305" s="177">
        <f t="shared" si="8"/>
        <v>-1675</v>
      </c>
    </row>
    <row r="306" spans="1:6" ht="18" customHeight="1">
      <c r="A306" s="40"/>
      <c r="B306" s="659" t="s">
        <v>680</v>
      </c>
      <c r="C306" s="572"/>
      <c r="D306" s="181">
        <v>315</v>
      </c>
      <c r="E306" s="176"/>
      <c r="F306" s="177">
        <f t="shared" si="8"/>
        <v>-315</v>
      </c>
    </row>
    <row r="307" spans="1:6" ht="18" customHeight="1">
      <c r="A307" s="40"/>
      <c r="B307" s="659" t="s">
        <v>676</v>
      </c>
      <c r="C307" s="572"/>
      <c r="D307" s="181">
        <v>1850</v>
      </c>
      <c r="E307" s="176"/>
      <c r="F307" s="177">
        <f t="shared" si="8"/>
        <v>-1850</v>
      </c>
    </row>
    <row r="308" spans="1:6" ht="18" customHeight="1">
      <c r="A308" s="40"/>
      <c r="B308" s="666" t="s">
        <v>672</v>
      </c>
      <c r="C308" s="571"/>
      <c r="D308" s="181">
        <v>280</v>
      </c>
      <c r="E308" s="176"/>
      <c r="F308" s="177">
        <f t="shared" si="8"/>
        <v>-280</v>
      </c>
    </row>
    <row r="309" spans="1:6" ht="18" customHeight="1">
      <c r="A309" s="40"/>
      <c r="B309" s="666" t="s">
        <v>674</v>
      </c>
      <c r="C309" s="571"/>
      <c r="D309" s="181">
        <v>100</v>
      </c>
      <c r="E309" s="176"/>
      <c r="F309" s="177">
        <f>SUM(E309-D309)</f>
        <v>-100</v>
      </c>
    </row>
    <row r="310" spans="1:6" s="147" customFormat="1" ht="18" customHeight="1">
      <c r="B310" s="672" t="s">
        <v>383</v>
      </c>
      <c r="C310" s="673"/>
      <c r="D310" s="673"/>
      <c r="E310" s="673"/>
      <c r="F310" s="674"/>
    </row>
    <row r="311" spans="1:6" s="147" customFormat="1" ht="18" customHeight="1">
      <c r="B311" s="666" t="s">
        <v>611</v>
      </c>
      <c r="C311" s="571"/>
      <c r="D311" s="181" t="e">
        <f>+#REF!</f>
        <v>#REF!</v>
      </c>
      <c r="E311" s="176"/>
      <c r="F311" s="177" t="e">
        <f>SUM(E311-D311)</f>
        <v>#REF!</v>
      </c>
    </row>
    <row r="312" spans="1:6" s="147" customFormat="1" ht="18" customHeight="1">
      <c r="D312" s="181">
        <v>0</v>
      </c>
      <c r="E312" s="176"/>
      <c r="F312" s="177">
        <f>SUM(E312-D312)</f>
        <v>0</v>
      </c>
    </row>
    <row r="313" spans="1:6" s="147" customFormat="1" ht="18" customHeight="1">
      <c r="B313" s="666"/>
      <c r="C313" s="571"/>
      <c r="D313" s="181">
        <v>0</v>
      </c>
      <c r="E313" s="176"/>
      <c r="F313" s="177">
        <f>SUM(E313-D313)</f>
        <v>0</v>
      </c>
    </row>
    <row r="314" spans="1:6" s="147" customFormat="1" ht="18" customHeight="1">
      <c r="B314" s="672" t="s">
        <v>608</v>
      </c>
      <c r="C314" s="673"/>
      <c r="D314" s="673"/>
      <c r="E314" s="673"/>
      <c r="F314" s="674"/>
    </row>
    <row r="315" spans="1:6" s="147" customFormat="1" ht="18" customHeight="1">
      <c r="B315" s="666" t="s">
        <v>658</v>
      </c>
      <c r="C315" s="571"/>
      <c r="D315" s="181">
        <v>5135</v>
      </c>
      <c r="E315" s="176"/>
      <c r="F315" s="177">
        <f>SUM(E315-D315)</f>
        <v>-5135</v>
      </c>
    </row>
    <row r="316" spans="1:6" s="147" customFormat="1" ht="18" customHeight="1">
      <c r="B316" s="672" t="s">
        <v>385</v>
      </c>
      <c r="C316" s="673"/>
      <c r="D316" s="673"/>
      <c r="E316" s="673"/>
      <c r="F316" s="674"/>
    </row>
    <row r="317" spans="1:6" s="147" customFormat="1" ht="18" customHeight="1">
      <c r="B317" s="666" t="s">
        <v>659</v>
      </c>
      <c r="C317" s="571"/>
      <c r="D317" s="181">
        <f>-I183</f>
        <v>0</v>
      </c>
      <c r="E317" s="176"/>
      <c r="F317" s="177">
        <f t="shared" ref="F317:F325" si="9">SUM(E317-D317)</f>
        <v>0</v>
      </c>
    </row>
    <row r="318" spans="1:6" s="147" customFormat="1" ht="18" customHeight="1">
      <c r="B318" s="666" t="s">
        <v>660</v>
      </c>
      <c r="C318" s="571"/>
      <c r="D318" s="181" t="e">
        <f>+#REF!</f>
        <v>#REF!</v>
      </c>
      <c r="E318" s="176"/>
      <c r="F318" s="177" t="e">
        <f t="shared" si="9"/>
        <v>#REF!</v>
      </c>
    </row>
    <row r="319" spans="1:6" s="147" customFormat="1" ht="18" customHeight="1">
      <c r="B319" s="666" t="s">
        <v>663</v>
      </c>
      <c r="C319" s="571"/>
      <c r="D319" s="181" t="e">
        <f>+CEILING(7.3*#REF!,5)</f>
        <v>#REF!</v>
      </c>
      <c r="E319" s="176"/>
      <c r="F319" s="177" t="e">
        <f t="shared" si="9"/>
        <v>#REF!</v>
      </c>
    </row>
    <row r="320" spans="1:6" s="147" customFormat="1" ht="18" customHeight="1">
      <c r="B320" s="666" t="s">
        <v>664</v>
      </c>
      <c r="C320" s="571"/>
      <c r="D320" s="181" t="e">
        <f>+CEILING(47.5*#REF!,5)</f>
        <v>#REF!</v>
      </c>
      <c r="E320" s="176"/>
      <c r="F320" s="177" t="e">
        <f t="shared" si="9"/>
        <v>#REF!</v>
      </c>
    </row>
    <row r="321" spans="1:7" s="147" customFormat="1" ht="18" customHeight="1">
      <c r="B321" s="666" t="s">
        <v>665</v>
      </c>
      <c r="C321" s="571"/>
      <c r="D321" s="181" t="e">
        <f>+CEILING(37.8*#REF!,5)</f>
        <v>#REF!</v>
      </c>
      <c r="E321" s="176"/>
      <c r="F321" s="177" t="e">
        <f t="shared" si="9"/>
        <v>#REF!</v>
      </c>
    </row>
    <row r="322" spans="1:7" s="147" customFormat="1" ht="18" customHeight="1">
      <c r="B322" s="666" t="s">
        <v>666</v>
      </c>
      <c r="C322" s="571"/>
      <c r="D322" s="181" t="e">
        <f>CEILING(7.7*#REF!,5)</f>
        <v>#REF!</v>
      </c>
      <c r="E322" s="176"/>
      <c r="F322" s="177" t="e">
        <f t="shared" si="9"/>
        <v>#REF!</v>
      </c>
    </row>
    <row r="323" spans="1:7" s="147" customFormat="1" ht="18" customHeight="1">
      <c r="B323" s="666" t="s">
        <v>667</v>
      </c>
      <c r="C323" s="571"/>
      <c r="D323" s="181" t="e">
        <f>CEILING(11.7*#REF!,5)</f>
        <v>#REF!</v>
      </c>
      <c r="E323" s="176"/>
      <c r="F323" s="177" t="e">
        <f t="shared" si="9"/>
        <v>#REF!</v>
      </c>
    </row>
    <row r="324" spans="1:7" s="147" customFormat="1" ht="18" customHeight="1">
      <c r="B324" s="666" t="s">
        <v>668</v>
      </c>
      <c r="C324" s="571"/>
      <c r="D324" s="181" t="e">
        <f>CEILING(27.6*#REF!,5)</f>
        <v>#REF!</v>
      </c>
      <c r="E324" s="176"/>
      <c r="F324" s="177" t="e">
        <f t="shared" si="9"/>
        <v>#REF!</v>
      </c>
    </row>
    <row r="325" spans="1:7" s="147" customFormat="1" ht="18" customHeight="1">
      <c r="B325" s="666" t="s">
        <v>661</v>
      </c>
      <c r="C325" s="571"/>
      <c r="D325" s="181" t="e">
        <f>CEILING(28.8*#REF!,5)</f>
        <v>#REF!</v>
      </c>
      <c r="E325" s="176"/>
      <c r="F325" s="177" t="e">
        <f t="shared" si="9"/>
        <v>#REF!</v>
      </c>
    </row>
    <row r="326" spans="1:7" s="147" customFormat="1" ht="18" customHeight="1">
      <c r="B326" s="534" t="s">
        <v>430</v>
      </c>
      <c r="C326" s="535"/>
      <c r="D326" s="184" t="e">
        <f>SUM(D186:D325)</f>
        <v>#REF!</v>
      </c>
      <c r="E326" s="184">
        <f>SUM(E186:E325)</f>
        <v>0</v>
      </c>
      <c r="F326" s="184" t="e">
        <f>SUM(F186:F325)</f>
        <v>#REF!</v>
      </c>
      <c r="G326" s="185"/>
    </row>
    <row r="327" spans="1:7" s="147" customFormat="1" ht="18" customHeight="1">
      <c r="B327" s="186"/>
      <c r="C327" s="187" t="s">
        <v>431</v>
      </c>
      <c r="D327" s="536" t="e">
        <f>SUM(D326)</f>
        <v>#REF!</v>
      </c>
      <c r="E327" s="537"/>
      <c r="F327" s="538"/>
    </row>
    <row r="328" spans="1:7" s="147" customFormat="1" ht="18" customHeight="1">
      <c r="B328" s="186"/>
      <c r="C328" s="187"/>
      <c r="D328" s="188"/>
      <c r="E328" s="188"/>
      <c r="F328" s="189"/>
    </row>
    <row r="329" spans="1:7" s="147" customFormat="1" ht="18" customHeight="1" thickBot="1">
      <c r="B329" s="539" t="s">
        <v>432</v>
      </c>
      <c r="C329" s="540"/>
      <c r="D329" s="190"/>
      <c r="E329" s="190"/>
      <c r="F329" s="191"/>
    </row>
    <row r="330" spans="1:7" s="147" customFormat="1" ht="18" customHeight="1" thickBot="1">
      <c r="A330" s="127"/>
      <c r="B330" s="192"/>
      <c r="C330" s="193"/>
      <c r="D330" s="194"/>
      <c r="E330" s="194"/>
      <c r="F330" s="194"/>
    </row>
    <row r="331" spans="1:7" s="147" customFormat="1" ht="18" customHeight="1">
      <c r="A331" s="127"/>
      <c r="B331" s="195"/>
      <c r="C331" s="196"/>
      <c r="D331" s="197"/>
      <c r="E331" s="197"/>
      <c r="F331" s="198"/>
    </row>
    <row r="332" spans="1:7" ht="18" customHeight="1">
      <c r="B332" s="199"/>
      <c r="C332" s="193"/>
      <c r="D332" s="194"/>
      <c r="E332" s="194"/>
      <c r="F332" s="200"/>
      <c r="G332" s="192"/>
    </row>
    <row r="333" spans="1:7" ht="18" customHeight="1">
      <c r="A333" s="188"/>
      <c r="B333" s="199"/>
      <c r="C333" s="193"/>
      <c r="D333" s="194"/>
      <c r="E333" s="194"/>
      <c r="F333" s="200"/>
    </row>
    <row r="334" spans="1:7" ht="18" customHeight="1">
      <c r="A334" s="188"/>
      <c r="B334" s="199"/>
      <c r="C334" s="193"/>
      <c r="D334" s="194"/>
      <c r="E334" s="194"/>
      <c r="F334" s="200"/>
    </row>
    <row r="335" spans="1:7" ht="18" customHeight="1">
      <c r="A335" s="188"/>
      <c r="B335" s="201"/>
      <c r="F335" s="119"/>
    </row>
    <row r="336" spans="1:7" ht="18" customHeight="1">
      <c r="A336" s="188"/>
      <c r="B336" s="201"/>
      <c r="F336" s="119"/>
    </row>
    <row r="337" spans="1:6" ht="18" customHeight="1">
      <c r="A337" s="188"/>
      <c r="B337" s="201"/>
      <c r="F337" s="119"/>
    </row>
    <row r="338" spans="1:6" ht="18" customHeight="1">
      <c r="A338" s="188"/>
      <c r="B338" s="201"/>
      <c r="F338" s="119"/>
    </row>
    <row r="339" spans="1:6" ht="18" customHeight="1">
      <c r="A339" s="188"/>
      <c r="B339" s="185"/>
      <c r="C339" s="202" t="s">
        <v>433</v>
      </c>
      <c r="D339" s="127"/>
      <c r="E339" s="127"/>
      <c r="F339" s="203"/>
    </row>
    <row r="340" spans="1:6" ht="18" customHeight="1">
      <c r="A340" s="188"/>
      <c r="B340" s="204" t="s">
        <v>434</v>
      </c>
      <c r="C340" s="127" t="s">
        <v>435</v>
      </c>
      <c r="D340" s="127"/>
      <c r="E340" s="127" t="s">
        <v>436</v>
      </c>
      <c r="F340" s="203"/>
    </row>
    <row r="341" spans="1:6" ht="18" customHeight="1">
      <c r="B341" s="205"/>
      <c r="C341" s="206"/>
      <c r="D341" s="207"/>
      <c r="E341" s="208"/>
      <c r="F341" s="203"/>
    </row>
    <row r="342" spans="1:6" ht="18" customHeight="1">
      <c r="B342" s="209">
        <v>0.05</v>
      </c>
      <c r="C342" s="210" t="s">
        <v>437</v>
      </c>
      <c r="D342" s="211"/>
      <c r="E342" s="212" t="e">
        <f>#REF!*0.05</f>
        <v>#REF!</v>
      </c>
      <c r="F342" s="203"/>
    </row>
    <row r="343" spans="1:6" ht="18" customHeight="1">
      <c r="B343" s="209">
        <v>0.15</v>
      </c>
      <c r="C343" s="210" t="s">
        <v>438</v>
      </c>
      <c r="D343" s="213"/>
      <c r="E343" s="214" t="e">
        <f>SUM(#REF!*0.15)</f>
        <v>#REF!</v>
      </c>
      <c r="F343" s="203"/>
    </row>
    <row r="344" spans="1:6" ht="18" customHeight="1">
      <c r="B344" s="209">
        <v>0.15</v>
      </c>
      <c r="C344" s="210" t="s">
        <v>439</v>
      </c>
      <c r="D344" s="213"/>
      <c r="E344" s="214" t="e">
        <f>SUM(#REF!*0.15)</f>
        <v>#REF!</v>
      </c>
      <c r="F344" s="203"/>
    </row>
    <row r="345" spans="1:6" s="147" customFormat="1" ht="18" customHeight="1">
      <c r="A345" s="127"/>
      <c r="B345" s="215">
        <v>0.17499999999999999</v>
      </c>
      <c r="C345" s="210" t="s">
        <v>440</v>
      </c>
      <c r="D345" s="213"/>
      <c r="E345" s="214" t="e">
        <f>SUM(#REF!*0.175)</f>
        <v>#REF!</v>
      </c>
      <c r="F345" s="203"/>
    </row>
    <row r="346" spans="1:6" s="147" customFormat="1" ht="18" customHeight="1">
      <c r="A346" s="127"/>
      <c r="B346" s="215">
        <v>0.17499999999999999</v>
      </c>
      <c r="C346" s="210" t="s">
        <v>441</v>
      </c>
      <c r="D346" s="213"/>
      <c r="E346" s="214" t="e">
        <f>SUM(#REF!*0.175)</f>
        <v>#REF!</v>
      </c>
      <c r="F346" s="203"/>
    </row>
    <row r="347" spans="1:6" s="147" customFormat="1" ht="18" customHeight="1">
      <c r="A347" s="127"/>
      <c r="B347" s="209">
        <v>0.2</v>
      </c>
      <c r="C347" s="210" t="s">
        <v>442</v>
      </c>
      <c r="D347" s="213"/>
      <c r="E347" s="214" t="e">
        <f>SUM(#REF!*0.2)</f>
        <v>#REF!</v>
      </c>
      <c r="F347" s="203"/>
    </row>
    <row r="348" spans="1:6" s="147" customFormat="1" ht="18" customHeight="1">
      <c r="A348" s="127"/>
      <c r="B348" s="209">
        <v>0.1</v>
      </c>
      <c r="C348" s="210" t="s">
        <v>443</v>
      </c>
      <c r="D348" s="216"/>
      <c r="E348" s="214" t="e">
        <f>#REF!*0.1</f>
        <v>#REF!</v>
      </c>
      <c r="F348" s="203"/>
    </row>
    <row r="349" spans="1:6" s="147" customFormat="1" ht="18" customHeight="1">
      <c r="A349" s="127"/>
      <c r="B349" s="204"/>
      <c r="C349" s="150"/>
      <c r="D349" s="127"/>
      <c r="E349" s="217"/>
      <c r="F349" s="203"/>
    </row>
    <row r="350" spans="1:6" s="147" customFormat="1" ht="18" customHeight="1">
      <c r="A350" s="127"/>
      <c r="B350" s="185"/>
      <c r="C350" s="202" t="s">
        <v>444</v>
      </c>
      <c r="D350" s="216"/>
      <c r="F350" s="203"/>
    </row>
    <row r="351" spans="1:6" s="147" customFormat="1" ht="18" customHeight="1">
      <c r="A351" s="127"/>
      <c r="B351" s="185"/>
      <c r="C351" s="150" t="s">
        <v>445</v>
      </c>
      <c r="D351" s="127"/>
      <c r="E351" s="150" t="e">
        <f>SUM(#REF!)/1.1</f>
        <v>#REF!</v>
      </c>
      <c r="F351" s="203"/>
    </row>
    <row r="352" spans="1:6" s="147" customFormat="1" ht="18" customHeight="1">
      <c r="A352" s="127"/>
      <c r="B352" s="185"/>
      <c r="C352" s="150" t="s">
        <v>446</v>
      </c>
      <c r="D352" s="127"/>
      <c r="E352" s="150" t="e">
        <f>SUM(#REF!-E351)</f>
        <v>#REF!</v>
      </c>
      <c r="F352" s="203"/>
    </row>
    <row r="353" spans="1:6" s="147" customFormat="1" ht="18" customHeight="1">
      <c r="A353" s="127"/>
      <c r="B353" s="185"/>
      <c r="C353" s="150" t="s">
        <v>447</v>
      </c>
      <c r="D353" s="127"/>
      <c r="E353" s="150" t="e">
        <f>SUM(E351:E352)</f>
        <v>#REF!</v>
      </c>
      <c r="F353" s="203"/>
    </row>
    <row r="354" spans="1:6" s="147" customFormat="1" ht="18" customHeight="1">
      <c r="A354" s="127"/>
      <c r="B354" s="185"/>
      <c r="D354" s="216"/>
      <c r="F354" s="203"/>
    </row>
    <row r="355" spans="1:6" s="147" customFormat="1" ht="18" customHeight="1">
      <c r="A355" s="127"/>
      <c r="B355" s="185"/>
      <c r="D355" s="216"/>
      <c r="F355" s="203"/>
    </row>
    <row r="356" spans="1:6" s="147" customFormat="1" ht="18" customHeight="1">
      <c r="A356" s="127"/>
      <c r="B356" s="185"/>
      <c r="C356" s="202"/>
      <c r="D356" s="216"/>
      <c r="F356" s="203"/>
    </row>
    <row r="357" spans="1:6" s="147" customFormat="1" ht="18" customHeight="1">
      <c r="A357" s="127"/>
      <c r="B357" s="185"/>
      <c r="C357" s="150"/>
      <c r="D357" s="127"/>
      <c r="E357" s="150"/>
      <c r="F357" s="203"/>
    </row>
    <row r="358" spans="1:6" s="147" customFormat="1" ht="18" customHeight="1">
      <c r="A358" s="127"/>
      <c r="B358" s="185"/>
      <c r="C358" s="150"/>
      <c r="D358" s="127"/>
      <c r="E358" s="150"/>
      <c r="F358" s="203"/>
    </row>
    <row r="359" spans="1:6" s="147" customFormat="1" ht="18" customHeight="1">
      <c r="A359" s="127"/>
      <c r="B359" s="185"/>
      <c r="C359" s="150"/>
      <c r="D359" s="127"/>
      <c r="E359" s="150"/>
      <c r="F359" s="203"/>
    </row>
    <row r="360" spans="1:6" s="147" customFormat="1" ht="18" customHeight="1">
      <c r="A360" s="127"/>
      <c r="B360" s="185"/>
      <c r="C360" s="150"/>
      <c r="D360" s="127"/>
      <c r="E360" s="150"/>
      <c r="F360" s="203"/>
    </row>
    <row r="361" spans="1:6" s="147" customFormat="1" ht="18" customHeight="1">
      <c r="A361" s="127"/>
      <c r="B361" s="185"/>
      <c r="C361" s="150"/>
      <c r="D361" s="127"/>
      <c r="E361" s="150"/>
      <c r="F361" s="203"/>
    </row>
    <row r="362" spans="1:6" s="147" customFormat="1" ht="18" customHeight="1">
      <c r="A362" s="127"/>
      <c r="B362" s="201"/>
      <c r="C362" s="40"/>
      <c r="D362" s="107"/>
      <c r="E362" s="40"/>
      <c r="F362" s="119"/>
    </row>
    <row r="363" spans="1:6" s="147" customFormat="1" ht="18" customHeight="1">
      <c r="A363" s="127"/>
      <c r="B363" s="201"/>
      <c r="C363" s="40"/>
      <c r="D363" s="107"/>
      <c r="E363" s="40"/>
      <c r="F363" s="119"/>
    </row>
    <row r="364" spans="1:6" s="147" customFormat="1" ht="18" customHeight="1">
      <c r="A364" s="127"/>
      <c r="B364" s="201"/>
      <c r="C364" s="40"/>
      <c r="D364" s="107"/>
      <c r="E364" s="40"/>
      <c r="F364" s="119"/>
    </row>
    <row r="365" spans="1:6" s="147" customFormat="1" ht="18" customHeight="1">
      <c r="A365" s="127"/>
      <c r="B365" s="201"/>
      <c r="C365" s="40"/>
      <c r="D365" s="107"/>
      <c r="E365" s="40"/>
      <c r="F365" s="119"/>
    </row>
    <row r="366" spans="1:6" s="147" customFormat="1" ht="18" customHeight="1">
      <c r="A366" s="127"/>
      <c r="B366" s="201"/>
      <c r="C366" s="40"/>
      <c r="D366" s="107"/>
      <c r="E366" s="40"/>
      <c r="F366" s="119"/>
    </row>
    <row r="367" spans="1:6" s="147" customFormat="1" ht="18" customHeight="1">
      <c r="A367" s="127"/>
      <c r="B367" s="201"/>
      <c r="C367" s="40"/>
      <c r="D367" s="107"/>
      <c r="E367" s="40"/>
      <c r="F367" s="119"/>
    </row>
    <row r="368" spans="1:6" ht="18" customHeight="1">
      <c r="B368" s="201"/>
      <c r="F368" s="119"/>
    </row>
    <row r="369" spans="2:6" ht="18" customHeight="1">
      <c r="B369" s="201"/>
      <c r="F369" s="119"/>
    </row>
    <row r="370" spans="2:6" ht="18" customHeight="1">
      <c r="B370" s="201"/>
      <c r="F370" s="119"/>
    </row>
    <row r="371" spans="2:6" ht="18" customHeight="1">
      <c r="B371" s="201"/>
      <c r="F371" s="119"/>
    </row>
    <row r="372" spans="2:6" ht="18" customHeight="1">
      <c r="B372" s="201"/>
      <c r="F372" s="119"/>
    </row>
    <row r="373" spans="2:6" ht="18" customHeight="1">
      <c r="B373" s="201"/>
      <c r="F373" s="119"/>
    </row>
    <row r="374" spans="2:6" ht="18" customHeight="1" thickBot="1">
      <c r="B374" s="218"/>
      <c r="C374" s="219"/>
      <c r="D374" s="220"/>
      <c r="E374" s="219"/>
      <c r="F374" s="221"/>
    </row>
  </sheetData>
  <mergeCells count="374">
    <mergeCell ref="B265:C265"/>
    <mergeCell ref="B326:C326"/>
    <mergeCell ref="D327:F327"/>
    <mergeCell ref="B329:C329"/>
    <mergeCell ref="B320:C320"/>
    <mergeCell ref="B321:C321"/>
    <mergeCell ref="B322:C322"/>
    <mergeCell ref="B323:C323"/>
    <mergeCell ref="B324:C324"/>
    <mergeCell ref="B325:C325"/>
    <mergeCell ref="B314:F314"/>
    <mergeCell ref="B315:C315"/>
    <mergeCell ref="B316:F316"/>
    <mergeCell ref="B317:C317"/>
    <mergeCell ref="B318:C318"/>
    <mergeCell ref="B319:C319"/>
    <mergeCell ref="B299:F299"/>
    <mergeCell ref="B300:C300"/>
    <mergeCell ref="B301:C301"/>
    <mergeCell ref="B310:F310"/>
    <mergeCell ref="B311:C311"/>
    <mergeCell ref="B313:C313"/>
    <mergeCell ref="B306:C306"/>
    <mergeCell ref="B307:C307"/>
    <mergeCell ref="B309:C309"/>
    <mergeCell ref="B308:C308"/>
    <mergeCell ref="B305:C305"/>
    <mergeCell ref="B293:C293"/>
    <mergeCell ref="B294:C294"/>
    <mergeCell ref="B295:C295"/>
    <mergeCell ref="B296:C296"/>
    <mergeCell ref="B297:F297"/>
    <mergeCell ref="B298:C298"/>
    <mergeCell ref="B285:C285"/>
    <mergeCell ref="B286:C286"/>
    <mergeCell ref="B287:C287"/>
    <mergeCell ref="B288:C288"/>
    <mergeCell ref="B290:F290"/>
    <mergeCell ref="B292:C292"/>
    <mergeCell ref="B291:C291"/>
    <mergeCell ref="B266:C266"/>
    <mergeCell ref="B277:C277"/>
    <mergeCell ref="B280:F280"/>
    <mergeCell ref="B281:C281"/>
    <mergeCell ref="B282:C282"/>
    <mergeCell ref="B283:F283"/>
    <mergeCell ref="B284:C284"/>
    <mergeCell ref="B273:C273"/>
    <mergeCell ref="B274:F274"/>
    <mergeCell ref="B275:C275"/>
    <mergeCell ref="B276:C276"/>
    <mergeCell ref="B279:C279"/>
    <mergeCell ref="B278:C278"/>
    <mergeCell ref="B256:F256"/>
    <mergeCell ref="B257:C257"/>
    <mergeCell ref="B258:C258"/>
    <mergeCell ref="B259:C259"/>
    <mergeCell ref="B304:C304"/>
    <mergeCell ref="B260:C260"/>
    <mergeCell ref="B251:C251"/>
    <mergeCell ref="B252:C252"/>
    <mergeCell ref="B253:C253"/>
    <mergeCell ref="B254:C254"/>
    <mergeCell ref="B255:C255"/>
    <mergeCell ref="B303:C303"/>
    <mergeCell ref="B267:F267"/>
    <mergeCell ref="B268:C268"/>
    <mergeCell ref="B269:C269"/>
    <mergeCell ref="B270:C270"/>
    <mergeCell ref="B271:C271"/>
    <mergeCell ref="B272:C272"/>
    <mergeCell ref="B261:C261"/>
    <mergeCell ref="B262:C262"/>
    <mergeCell ref="B263:C263"/>
    <mergeCell ref="B302:F302"/>
    <mergeCell ref="B289:C289"/>
    <mergeCell ref="B264:F264"/>
    <mergeCell ref="B245:C245"/>
    <mergeCell ref="B246:C246"/>
    <mergeCell ref="B247:C247"/>
    <mergeCell ref="B248:C248"/>
    <mergeCell ref="B249:C249"/>
    <mergeCell ref="B250:C250"/>
    <mergeCell ref="B239:C239"/>
    <mergeCell ref="B240:C240"/>
    <mergeCell ref="B241:C241"/>
    <mergeCell ref="B242:C242"/>
    <mergeCell ref="B243:F243"/>
    <mergeCell ref="B244:C244"/>
    <mergeCell ref="B233:C233"/>
    <mergeCell ref="B234:F234"/>
    <mergeCell ref="B235:C235"/>
    <mergeCell ref="B236:C236"/>
    <mergeCell ref="B237:F237"/>
    <mergeCell ref="B238:C238"/>
    <mergeCell ref="B227:C227"/>
    <mergeCell ref="B228:C228"/>
    <mergeCell ref="B229:F229"/>
    <mergeCell ref="B230:C230"/>
    <mergeCell ref="B231:C231"/>
    <mergeCell ref="B232:C232"/>
    <mergeCell ref="B222:C222"/>
    <mergeCell ref="B223:C223"/>
    <mergeCell ref="B214:C214"/>
    <mergeCell ref="B224:C224"/>
    <mergeCell ref="B225:F225"/>
    <mergeCell ref="B226:C226"/>
    <mergeCell ref="B212:C212"/>
    <mergeCell ref="B217:F217"/>
    <mergeCell ref="B218:C218"/>
    <mergeCell ref="B219:C219"/>
    <mergeCell ref="B220:C220"/>
    <mergeCell ref="B221:C221"/>
    <mergeCell ref="B213:F213"/>
    <mergeCell ref="B215:C215"/>
    <mergeCell ref="B216:C216"/>
    <mergeCell ref="B206:C206"/>
    <mergeCell ref="B207:C207"/>
    <mergeCell ref="B208:F208"/>
    <mergeCell ref="B209:C209"/>
    <mergeCell ref="B210:C210"/>
    <mergeCell ref="B211:F211"/>
    <mergeCell ref="B198:C198"/>
    <mergeCell ref="B201:F201"/>
    <mergeCell ref="B202:C202"/>
    <mergeCell ref="B203:F203"/>
    <mergeCell ref="B204:F204"/>
    <mergeCell ref="B205:C205"/>
    <mergeCell ref="B199:F199"/>
    <mergeCell ref="B200:C200"/>
    <mergeCell ref="B192:C192"/>
    <mergeCell ref="B193:C193"/>
    <mergeCell ref="B194:C194"/>
    <mergeCell ref="B195:F195"/>
    <mergeCell ref="B196:C196"/>
    <mergeCell ref="B197:F197"/>
    <mergeCell ref="B186:C186"/>
    <mergeCell ref="B187:F187"/>
    <mergeCell ref="B188:C188"/>
    <mergeCell ref="B189:C189"/>
    <mergeCell ref="B190:C190"/>
    <mergeCell ref="B191:C191"/>
    <mergeCell ref="B178:C178"/>
    <mergeCell ref="D178:F178"/>
    <mergeCell ref="B179:C179"/>
    <mergeCell ref="B182:C182"/>
    <mergeCell ref="D183:F183"/>
    <mergeCell ref="C184:F184"/>
    <mergeCell ref="D174:F174"/>
    <mergeCell ref="B175:C175"/>
    <mergeCell ref="D175:F175"/>
    <mergeCell ref="D176:F176"/>
    <mergeCell ref="B177:C177"/>
    <mergeCell ref="D177:F177"/>
    <mergeCell ref="B170:C170"/>
    <mergeCell ref="D170:F170"/>
    <mergeCell ref="B171:C171"/>
    <mergeCell ref="D171:F171"/>
    <mergeCell ref="D172:F172"/>
    <mergeCell ref="B173:C173"/>
    <mergeCell ref="D173:F173"/>
    <mergeCell ref="B166:C166"/>
    <mergeCell ref="D166:F166"/>
    <mergeCell ref="B167:C167"/>
    <mergeCell ref="D167:F167"/>
    <mergeCell ref="D168:F168"/>
    <mergeCell ref="B169:C169"/>
    <mergeCell ref="D169:F169"/>
    <mergeCell ref="B163:C163"/>
    <mergeCell ref="D163:F163"/>
    <mergeCell ref="B164:C164"/>
    <mergeCell ref="D164:F164"/>
    <mergeCell ref="B165:C165"/>
    <mergeCell ref="D165:F165"/>
    <mergeCell ref="D159:F159"/>
    <mergeCell ref="B160:C160"/>
    <mergeCell ref="D160:F160"/>
    <mergeCell ref="B161:C161"/>
    <mergeCell ref="D161:F161"/>
    <mergeCell ref="D162:F162"/>
    <mergeCell ref="B155:C155"/>
    <mergeCell ref="D155:F155"/>
    <mergeCell ref="B156:C156"/>
    <mergeCell ref="D156:F156"/>
    <mergeCell ref="D157:F157"/>
    <mergeCell ref="B158:C158"/>
    <mergeCell ref="D158:F158"/>
    <mergeCell ref="B152:C152"/>
    <mergeCell ref="D152:F152"/>
    <mergeCell ref="B153:C153"/>
    <mergeCell ref="D153:F153"/>
    <mergeCell ref="B154:C154"/>
    <mergeCell ref="D154:F154"/>
    <mergeCell ref="B149:C149"/>
    <mergeCell ref="D149:F149"/>
    <mergeCell ref="B150:C150"/>
    <mergeCell ref="D150:F150"/>
    <mergeCell ref="B151:C151"/>
    <mergeCell ref="D151:F151"/>
    <mergeCell ref="B145:C145"/>
    <mergeCell ref="D145:F145"/>
    <mergeCell ref="B146:C146"/>
    <mergeCell ref="D146:F146"/>
    <mergeCell ref="D147:F147"/>
    <mergeCell ref="B148:C148"/>
    <mergeCell ref="D148:F148"/>
    <mergeCell ref="B141:C141"/>
    <mergeCell ref="D141:F141"/>
    <mergeCell ref="D142:F142"/>
    <mergeCell ref="B143:C143"/>
    <mergeCell ref="D143:F143"/>
    <mergeCell ref="B144:C144"/>
    <mergeCell ref="D144:F144"/>
    <mergeCell ref="B138:C138"/>
    <mergeCell ref="D138:F138"/>
    <mergeCell ref="B139:C139"/>
    <mergeCell ref="D139:F139"/>
    <mergeCell ref="B140:C140"/>
    <mergeCell ref="D140:F140"/>
    <mergeCell ref="B134:C134"/>
    <mergeCell ref="D134:F134"/>
    <mergeCell ref="D135:F135"/>
    <mergeCell ref="B136:C136"/>
    <mergeCell ref="D136:F136"/>
    <mergeCell ref="D137:F137"/>
    <mergeCell ref="B131:C131"/>
    <mergeCell ref="D131:F131"/>
    <mergeCell ref="B132:C132"/>
    <mergeCell ref="D132:F132"/>
    <mergeCell ref="B133:C133"/>
    <mergeCell ref="D133:F133"/>
    <mergeCell ref="B128:C128"/>
    <mergeCell ref="D128:F128"/>
    <mergeCell ref="B129:C129"/>
    <mergeCell ref="D129:F129"/>
    <mergeCell ref="B130:C130"/>
    <mergeCell ref="D130:F130"/>
    <mergeCell ref="D124:F124"/>
    <mergeCell ref="B125:C125"/>
    <mergeCell ref="D125:F125"/>
    <mergeCell ref="B126:C126"/>
    <mergeCell ref="D126:F126"/>
    <mergeCell ref="B127:C127"/>
    <mergeCell ref="D127:F127"/>
    <mergeCell ref="B121:C121"/>
    <mergeCell ref="D121:F121"/>
    <mergeCell ref="B122:C122"/>
    <mergeCell ref="D122:F122"/>
    <mergeCell ref="B123:C123"/>
    <mergeCell ref="D123:F123"/>
    <mergeCell ref="B118:C118"/>
    <mergeCell ref="D118:F118"/>
    <mergeCell ref="B119:C119"/>
    <mergeCell ref="D119:F119"/>
    <mergeCell ref="B120:C120"/>
    <mergeCell ref="D120:F120"/>
    <mergeCell ref="B115:C115"/>
    <mergeCell ref="D115:F115"/>
    <mergeCell ref="B116:C116"/>
    <mergeCell ref="D116:F116"/>
    <mergeCell ref="B117:C117"/>
    <mergeCell ref="D117:F117"/>
    <mergeCell ref="B111:C111"/>
    <mergeCell ref="D111:F111"/>
    <mergeCell ref="B112:C112"/>
    <mergeCell ref="D112:F112"/>
    <mergeCell ref="D113:F113"/>
    <mergeCell ref="B114:C114"/>
    <mergeCell ref="D114:F114"/>
    <mergeCell ref="B107:C107"/>
    <mergeCell ref="D107:F107"/>
    <mergeCell ref="D108:F108"/>
    <mergeCell ref="B109:C109"/>
    <mergeCell ref="D109:F109"/>
    <mergeCell ref="B110:C110"/>
    <mergeCell ref="D110:F110"/>
    <mergeCell ref="B103:C103"/>
    <mergeCell ref="D103:F103"/>
    <mergeCell ref="D104:F104"/>
    <mergeCell ref="B105:C105"/>
    <mergeCell ref="D105:F105"/>
    <mergeCell ref="B106:C106"/>
    <mergeCell ref="D106:F106"/>
    <mergeCell ref="D99:F99"/>
    <mergeCell ref="B100:C100"/>
    <mergeCell ref="D100:F100"/>
    <mergeCell ref="B101:C101"/>
    <mergeCell ref="D101:F101"/>
    <mergeCell ref="B102:C102"/>
    <mergeCell ref="D102:F102"/>
    <mergeCell ref="D95:F95"/>
    <mergeCell ref="B96:C96"/>
    <mergeCell ref="D96:F96"/>
    <mergeCell ref="B97:C97"/>
    <mergeCell ref="D97:F97"/>
    <mergeCell ref="B98:C98"/>
    <mergeCell ref="D98:F98"/>
    <mergeCell ref="D91:F91"/>
    <mergeCell ref="B92:C92"/>
    <mergeCell ref="D92:F92"/>
    <mergeCell ref="B93:C93"/>
    <mergeCell ref="D93:F93"/>
    <mergeCell ref="B94:C94"/>
    <mergeCell ref="D94:F94"/>
    <mergeCell ref="B87:C87"/>
    <mergeCell ref="D87:F87"/>
    <mergeCell ref="D88:F88"/>
    <mergeCell ref="B89:C89"/>
    <mergeCell ref="D89:F89"/>
    <mergeCell ref="B90:C90"/>
    <mergeCell ref="D90:F90"/>
    <mergeCell ref="B83:C83"/>
    <mergeCell ref="D83:F83"/>
    <mergeCell ref="D84:F84"/>
    <mergeCell ref="B85:C85"/>
    <mergeCell ref="D85:F85"/>
    <mergeCell ref="B86:C86"/>
    <mergeCell ref="D86:F86"/>
    <mergeCell ref="D79:F79"/>
    <mergeCell ref="B80:C80"/>
    <mergeCell ref="D80:F80"/>
    <mergeCell ref="D81:F81"/>
    <mergeCell ref="B82:C82"/>
    <mergeCell ref="D82:F82"/>
    <mergeCell ref="B76:C76"/>
    <mergeCell ref="D76:F76"/>
    <mergeCell ref="B77:C77"/>
    <mergeCell ref="D77:F77"/>
    <mergeCell ref="B78:C78"/>
    <mergeCell ref="D78:F78"/>
    <mergeCell ref="B72:C72"/>
    <mergeCell ref="D72:F72"/>
    <mergeCell ref="D73:F73"/>
    <mergeCell ref="B74:C74"/>
    <mergeCell ref="D74:F74"/>
    <mergeCell ref="D75:F75"/>
    <mergeCell ref="B47:C47"/>
    <mergeCell ref="C48:F48"/>
    <mergeCell ref="B49:F49"/>
    <mergeCell ref="B50:F50"/>
    <mergeCell ref="B51:F51"/>
    <mergeCell ref="C52:F52"/>
    <mergeCell ref="B61:C61"/>
    <mergeCell ref="D61:F61"/>
    <mergeCell ref="B62:C62"/>
    <mergeCell ref="D62:F62"/>
    <mergeCell ref="B58:C58"/>
    <mergeCell ref="D58:F58"/>
    <mergeCell ref="B59:C59"/>
    <mergeCell ref="D59:F59"/>
    <mergeCell ref="B60:C60"/>
    <mergeCell ref="D60:F60"/>
    <mergeCell ref="B54:F54"/>
    <mergeCell ref="D55:F55"/>
    <mergeCell ref="B56:C56"/>
    <mergeCell ref="D56:F56"/>
    <mergeCell ref="B57:C57"/>
    <mergeCell ref="D57:F57"/>
    <mergeCell ref="D63:F63"/>
    <mergeCell ref="B64:C64"/>
    <mergeCell ref="D64:F64"/>
    <mergeCell ref="B68:C68"/>
    <mergeCell ref="D68:F68"/>
    <mergeCell ref="D69:F69"/>
    <mergeCell ref="B70:C70"/>
    <mergeCell ref="D70:F70"/>
    <mergeCell ref="B71:C71"/>
    <mergeCell ref="D71:F71"/>
    <mergeCell ref="B65:C65"/>
    <mergeCell ref="D65:F65"/>
    <mergeCell ref="B66:C66"/>
    <mergeCell ref="D66:F66"/>
    <mergeCell ref="B67:C67"/>
    <mergeCell ref="D67:F67"/>
  </mergeCells>
  <pageMargins left="0.7" right="0.7" top="0.75" bottom="0.75" header="0.3" footer="0.3"/>
  <pageSetup paperSize="9" scale="89" fitToHeight="0" orientation="portrait" r:id="rId1"/>
  <rowBreaks count="6" manualBreakCount="6">
    <brk id="44" max="16383" man="1"/>
    <brk id="87" max="16383" man="1"/>
    <brk id="123" max="5" man="1"/>
    <brk id="161" max="5" man="1"/>
    <brk id="178" max="16383" man="1"/>
    <brk id="329" max="5" man="1"/>
  </rowBreaks>
  <colBreaks count="1" manualBreakCount="1">
    <brk id="6" max="334" man="1"/>
  </colBreaks>
  <drawing r:id="rId2"/>
  <legacyDrawing r:id="rId3"/>
  <controls>
    <mc:AlternateContent xmlns:mc="http://schemas.openxmlformats.org/markup-compatibility/2006">
      <mc:Choice Requires="x14">
        <control shapeId="28677" r:id="rId4" name="cmdArea">
          <controlPr defaultSize="0" autoLine="0" r:id="rId5">
            <anchor moveWithCells="1">
              <from>
                <xdr:col>7</xdr:col>
                <xdr:colOff>45720</xdr:colOff>
                <xdr:row>177</xdr:row>
                <xdr:rowOff>22860</xdr:rowOff>
              </from>
              <to>
                <xdr:col>7</xdr:col>
                <xdr:colOff>1790700</xdr:colOff>
                <xdr:row>177</xdr:row>
                <xdr:rowOff>289560</xdr:rowOff>
              </to>
            </anchor>
          </controlPr>
        </control>
      </mc:Choice>
      <mc:Fallback>
        <control shapeId="28677" r:id="rId4" name="cmdArea"/>
      </mc:Fallback>
    </mc:AlternateContent>
    <mc:AlternateContent xmlns:mc="http://schemas.openxmlformats.org/markup-compatibility/2006">
      <mc:Choice Requires="x14">
        <control shapeId="28676" r:id="rId6" name="cmbTimePeriod">
          <controlPr defaultSize="0" autoLine="0" r:id="rId7">
            <anchor moveWithCells="1">
              <from>
                <xdr:col>7</xdr:col>
                <xdr:colOff>38100</xdr:colOff>
                <xdr:row>171</xdr:row>
                <xdr:rowOff>38100</xdr:rowOff>
              </from>
              <to>
                <xdr:col>7</xdr:col>
                <xdr:colOff>1889760</xdr:colOff>
                <xdr:row>171</xdr:row>
                <xdr:rowOff>274320</xdr:rowOff>
              </to>
            </anchor>
          </controlPr>
        </control>
      </mc:Choice>
      <mc:Fallback>
        <control shapeId="28676" r:id="rId6" name="cmbTimePeriod"/>
      </mc:Fallback>
    </mc:AlternateContent>
    <mc:AlternateContent xmlns:mc="http://schemas.openxmlformats.org/markup-compatibility/2006">
      <mc:Choice Requires="x14">
        <control shapeId="28675" r:id="rId8" name="optECHUCA">
          <controlPr defaultSize="0" autoLine="0" r:id="rId9">
            <anchor moveWithCells="1">
              <from>
                <xdr:col>7</xdr:col>
                <xdr:colOff>2247900</xdr:colOff>
                <xdr:row>173</xdr:row>
                <xdr:rowOff>22860</xdr:rowOff>
              </from>
              <to>
                <xdr:col>7</xdr:col>
                <xdr:colOff>3238500</xdr:colOff>
                <xdr:row>174</xdr:row>
                <xdr:rowOff>0</xdr:rowOff>
              </to>
            </anchor>
          </controlPr>
        </control>
      </mc:Choice>
      <mc:Fallback>
        <control shapeId="28675" r:id="rId8" name="optECHUCA"/>
      </mc:Fallback>
    </mc:AlternateContent>
    <mc:AlternateContent xmlns:mc="http://schemas.openxmlformats.org/markup-compatibility/2006">
      <mc:Choice Requires="x14">
        <control shapeId="28674" r:id="rId10" name="optShepparton">
          <controlPr defaultSize="0" autoLine="0" r:id="rId11">
            <anchor moveWithCells="1">
              <from>
                <xdr:col>7</xdr:col>
                <xdr:colOff>342900</xdr:colOff>
                <xdr:row>173</xdr:row>
                <xdr:rowOff>22860</xdr:rowOff>
              </from>
              <to>
                <xdr:col>7</xdr:col>
                <xdr:colOff>1333500</xdr:colOff>
                <xdr:row>174</xdr:row>
                <xdr:rowOff>0</xdr:rowOff>
              </to>
            </anchor>
          </controlPr>
        </control>
      </mc:Choice>
      <mc:Fallback>
        <control shapeId="28674" r:id="rId10" name="optShepparton"/>
      </mc:Fallback>
    </mc:AlternateContent>
    <mc:AlternateContent xmlns:mc="http://schemas.openxmlformats.org/markup-compatibility/2006">
      <mc:Choice Requires="x14">
        <control shapeId="28673" r:id="rId12" name="ComboBox1">
          <controlPr defaultSize="0" autoLine="0" r:id="rId13">
            <anchor moveWithCells="1">
              <from>
                <xdr:col>2</xdr:col>
                <xdr:colOff>7620</xdr:colOff>
                <xdr:row>185</xdr:row>
                <xdr:rowOff>22860</xdr:rowOff>
              </from>
              <to>
                <xdr:col>3</xdr:col>
                <xdr:colOff>0</xdr:colOff>
                <xdr:row>185</xdr:row>
                <xdr:rowOff>259080</xdr:rowOff>
              </to>
            </anchor>
          </controlPr>
        </control>
      </mc:Choice>
      <mc:Fallback>
        <control shapeId="28673" r:id="rId12" name="ComboBox1"/>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ADB3-8859-4073-9B0B-23E1E721C29D}">
  <dimension ref="C3:F162"/>
  <sheetViews>
    <sheetView topLeftCell="A54" workbookViewId="0">
      <selection activeCell="J66" sqref="J66"/>
    </sheetView>
  </sheetViews>
  <sheetFormatPr defaultRowHeight="14.4"/>
  <cols>
    <col min="3" max="3" width="59" bestFit="1" customWidth="1"/>
    <col min="4" max="4" width="11.33203125" style="361" bestFit="1" customWidth="1"/>
  </cols>
  <sheetData>
    <row r="3" spans="3:4">
      <c r="C3" s="18" t="s">
        <v>1112</v>
      </c>
    </row>
    <row r="4" spans="3:4">
      <c r="C4" s="496" t="str">
        <f>'[2]UPGRADES - ASHWOOD RANGE'!$B$6</f>
        <v>Extend garage by 500mm</v>
      </c>
      <c r="D4" s="362">
        <f>'[2]UPGRADES - ASHWOOD RANGE'!$K$6</f>
        <v>2500</v>
      </c>
    </row>
    <row r="5" spans="3:4">
      <c r="C5" s="496" t="str">
        <f>'[2]UPGRADES - ASHWOOD RANGE'!$B$7</f>
        <v>Extend garage by 1000mm</v>
      </c>
      <c r="D5" s="362">
        <f>'[2]UPGRADES - ASHWOOD RANGE'!$K$7</f>
        <v>5000</v>
      </c>
    </row>
    <row r="6" spans="3:4">
      <c r="C6" s="496" t="str">
        <f>'[2]UPGRADES - ASHWOOD RANGE'!$B$8</f>
        <v>Outdoor Living - addition 1</v>
      </c>
      <c r="D6" s="362">
        <f>'[2]UPGRADES - ASHWOOD RANGE'!$K$8</f>
        <v>4350</v>
      </c>
    </row>
    <row r="7" spans="3:4">
      <c r="C7" s="496" t="str">
        <f>'[2]UPGRADES - ASHWOOD RANGE'!$B$9</f>
        <v>Outdoor Living - brick pier in lieu of steel post</v>
      </c>
      <c r="D7" s="497">
        <f>'[2]UPGRADES - ASHWOOD RANGE'!$K$9</f>
        <v>400</v>
      </c>
    </row>
    <row r="8" spans="3:4">
      <c r="C8" s="496" t="str">
        <f>'[2]UPGRADES - ASHWOOD RANGE'!$B10</f>
        <v xml:space="preserve">Additional concrete - outdoor living </v>
      </c>
      <c r="D8" s="362">
        <f>'[2]UPGRADES - ASHWOOD RANGE'!$K$10</f>
        <v>1260</v>
      </c>
    </row>
    <row r="9" spans="3:4">
      <c r="C9" s="496" t="str">
        <f>'[2]UPGRADES - ASHWOOD RANGE'!$B$11</f>
        <v>Outdoor Living - addition 2</v>
      </c>
      <c r="D9" s="362">
        <f>'[2]UPGRADES - ASHWOOD RANGE'!$K$11</f>
        <v>7100</v>
      </c>
    </row>
    <row r="10" spans="3:4">
      <c r="C10" s="496" t="str">
        <f>'[2]UPGRADES - ASHWOOD RANGE'!$B$12</f>
        <v>Outdoor Living - brick pier in lieu of steel post</v>
      </c>
      <c r="D10" s="497">
        <f>'[2]UPGRADES - ASHWOOD RANGE'!$K$12</f>
        <v>400</v>
      </c>
    </row>
    <row r="11" spans="3:4">
      <c r="C11" s="496" t="str">
        <f>'[2]UPGRADES - ASHWOOD RANGE'!$B$13</f>
        <v xml:space="preserve">Additional concrete- Outdoor living </v>
      </c>
      <c r="D11" s="362">
        <f>'[2]UPGRADES - ASHWOOD RANGE'!$K$13</f>
        <v>1960</v>
      </c>
    </row>
    <row r="12" spans="3:4">
      <c r="C12" s="496" t="str">
        <f>'[2]UPGRADES - ASHWOOD RANGE'!$B$14</f>
        <v>Kitchen - Upgrade 1 - The Entertainers Kitchen</v>
      </c>
      <c r="D12" s="362">
        <f>'[2]UPGRADES - ASHWOOD RANGE'!$K$14</f>
        <v>980</v>
      </c>
    </row>
    <row r="13" spans="3:4">
      <c r="C13" s="496" t="str">
        <f>'[2]UPGRADES - ASHWOOD RANGE'!$B$15</f>
        <v>Kitchen - Upgrade 2 - The Modern Chef Kitchen</v>
      </c>
      <c r="D13" s="362">
        <f>'[2]UPGRADES - ASHWOOD RANGE'!$K$15</f>
        <v>2850</v>
      </c>
    </row>
    <row r="14" spans="3:4">
      <c r="C14" s="496" t="str">
        <f>'[2]UPGRADES - ASHWOOD RANGE'!$B$16</f>
        <v>Ensuite - Upgrade 1 - The Signature Ensuite</v>
      </c>
      <c r="D14" s="362">
        <f>'[2]UPGRADES - ASHWOOD RANGE'!$K$16</f>
        <v>600</v>
      </c>
    </row>
    <row r="15" spans="3:4">
      <c r="C15" s="496" t="str">
        <f>'[2]UPGRADES - ASHWOOD RANGE'!$B$17</f>
        <v>Ensuite - Upgrade 2 - The Indulgence Ensuite</v>
      </c>
      <c r="D15" s="362">
        <f>'[2]UPGRADES - ASHWOOD RANGE'!$K$17</f>
        <v>2780</v>
      </c>
    </row>
    <row r="17" spans="3:4">
      <c r="C17" s="18" t="s">
        <v>1113</v>
      </c>
    </row>
    <row r="18" spans="3:4">
      <c r="C18" s="233" t="s">
        <v>1114</v>
      </c>
      <c r="D18" s="498" t="s">
        <v>267</v>
      </c>
    </row>
    <row r="19" spans="3:4">
      <c r="C19" s="233" t="str">
        <f>'[2]UPGRADES - ASHWOOD RANGE'!$B$19</f>
        <v>1 The Retreat Façade</v>
      </c>
      <c r="D19" s="362">
        <f>'[2]UPGRADES - ASHWOOD RANGE'!$K$19</f>
        <v>3300</v>
      </c>
    </row>
    <row r="20" spans="3:4">
      <c r="C20" s="233" t="str">
        <f>'[2]UPGRADES - ASHWOOD RANGE'!$B$20</f>
        <v>2 The Rise Façade</v>
      </c>
      <c r="D20" s="362">
        <f>'[2]UPGRADES - ASHWOOD RANGE'!$K$20</f>
        <v>7300</v>
      </c>
    </row>
    <row r="21" spans="3:4">
      <c r="C21" s="233" t="str">
        <f>'[2]UPGRADES - ASHWOOD RANGE'!$B$21</f>
        <v>3 The Escape Façade</v>
      </c>
      <c r="D21" s="362">
        <f>'[2]UPGRADES - ASHWOOD RANGE'!$K$21</f>
        <v>8950</v>
      </c>
    </row>
    <row r="22" spans="3:4">
      <c r="C22" s="233" t="str">
        <f>'[2]UPGRADES - ASHWOOD RANGE'!$B$22</f>
        <v>4 The Essence Façade</v>
      </c>
      <c r="D22" s="362">
        <f>'[2]UPGRADES - ASHWOOD RANGE'!$K$22</f>
        <v>6500</v>
      </c>
    </row>
    <row r="23" spans="3:4">
      <c r="C23" s="233" t="str">
        <f>'[2]UPGRADES - ASHWOOD RANGE'!$B$23</f>
        <v>5 The Sanctuary Façade</v>
      </c>
      <c r="D23" s="362">
        <f>'[2]UPGRADES - ASHWOOD RANGE'!$K$23</f>
        <v>9050</v>
      </c>
    </row>
    <row r="24" spans="3:4">
      <c r="C24" s="233" t="str">
        <f>'[2]UPGRADES - ASHWOOD RANGE'!$B$24</f>
        <v>6. The Summit Façade</v>
      </c>
      <c r="D24" s="362">
        <f>'[2]UPGRADES - ASHWOOD RANGE'!$K$24</f>
        <v>8500</v>
      </c>
    </row>
    <row r="25" spans="3:4">
      <c r="C25" s="233" t="str">
        <f>'[2]UPGRADES - ASHWOOD RANGE'!$B$25</f>
        <v>7. The Haven Facade</v>
      </c>
      <c r="D25" s="362">
        <f>'[2]UPGRADES - ASHWOOD RANGE'!$K$25</f>
        <v>8500</v>
      </c>
    </row>
    <row r="26" spans="3:4">
      <c r="C26" s="233" t="str">
        <f>'[2]UPGRADES - ASHWOOD RANGE'!$B$26</f>
        <v>9. The Horizon Façade</v>
      </c>
      <c r="D26" s="362">
        <f>'[2]UPGRADES - ASHWOOD RANGE'!$K$26</f>
        <v>10500</v>
      </c>
    </row>
    <row r="28" spans="3:4">
      <c r="C28" s="18" t="s">
        <v>1115</v>
      </c>
    </row>
    <row r="29" spans="3:4">
      <c r="C29" s="18" t="s">
        <v>1116</v>
      </c>
    </row>
    <row r="30" spans="3:4">
      <c r="C30" s="496" t="str">
        <f>'[2]UPGRADES - ASHWOOD RANGE'!$B29</f>
        <v>600mm overhead either side of rangehood</v>
      </c>
      <c r="D30" s="362">
        <f>'[2]UPGRADES - ASHWOOD RANGE'!$K$29</f>
        <v>990</v>
      </c>
    </row>
    <row r="31" spans="3:4">
      <c r="C31" s="496" t="str">
        <f>'[2]UPGRADES - ASHWOOD RANGE'!$B30</f>
        <v>Overhead cupboards with integrated rangehood</v>
      </c>
      <c r="D31" s="362">
        <f>'[2]UPGRADES - ASHWOOD RANGE'!$K$30</f>
        <v>2120</v>
      </c>
    </row>
    <row r="32" spans="3:4">
      <c r="C32" s="496" t="str">
        <f>'[2]UPGRADES - ASHWOOD RANGE'!$B31</f>
        <v>Fridge overhead cupboard</v>
      </c>
      <c r="D32" s="362">
        <f>'[2]UPGRADES - ASHWOOD RANGE'!$K$31</f>
        <v>960</v>
      </c>
    </row>
    <row r="33" spans="3:4">
      <c r="C33" s="233" t="s">
        <v>1147</v>
      </c>
      <c r="D33" s="362">
        <f>'[2]UPGRADES - ASHWOOD RANGE'!$K$32</f>
        <v>330</v>
      </c>
    </row>
    <row r="34" spans="3:4">
      <c r="C34" s="233" t="s">
        <v>1148</v>
      </c>
      <c r="D34" s="362">
        <f>'[2]UPGRADES - ASHWOOD RANGE'!$K$32*2</f>
        <v>660</v>
      </c>
    </row>
    <row r="35" spans="3:4">
      <c r="C35" s="233" t="s">
        <v>1149</v>
      </c>
      <c r="D35" s="362">
        <f>'[2]UPGRADES - ASHWOOD RANGE'!$K$32*3</f>
        <v>990</v>
      </c>
    </row>
    <row r="36" spans="3:4">
      <c r="C36" s="233" t="s">
        <v>1150</v>
      </c>
      <c r="D36" s="362">
        <f>'[2]UPGRADES - ASHWOOD RANGE'!$K$32*4</f>
        <v>1320</v>
      </c>
    </row>
    <row r="37" spans="3:4">
      <c r="C37" s="233" t="s">
        <v>1151</v>
      </c>
      <c r="D37" s="362">
        <f>'[2]UPGRADES - ASHWOOD RANGE'!$K$32*5</f>
        <v>1650</v>
      </c>
    </row>
    <row r="38" spans="3:4">
      <c r="C38" s="496" t="str">
        <f>'[2]UPGRADES - ASHWOOD RANGE'!$B$33</f>
        <v>Microwave cavity with drawer below</v>
      </c>
      <c r="D38" s="362">
        <f>'[2]UPGRADES - ASHWOOD RANGE'!$K$33</f>
        <v>415</v>
      </c>
    </row>
    <row r="39" spans="3:4">
      <c r="C39" s="496" t="str">
        <f>'[2]UPGRADES - ASHWOOD RANGE'!$B$34</f>
        <v>Twin bin with drawer below</v>
      </c>
      <c r="D39" s="362">
        <f>'[2]UPGRADES - ASHWOOD RANGE'!$K$34</f>
        <v>250</v>
      </c>
    </row>
    <row r="40" spans="3:4">
      <c r="C40" s="496" t="str">
        <f>'[2]UPGRADES - ASHWOOD RANGE'!$B$35</f>
        <v xml:space="preserve">1212 No Bottom Reveal Window </v>
      </c>
      <c r="D40" s="362">
        <f>'[2]UPGRADES - ASHWOOD RANGE'!$K$35</f>
        <v>390</v>
      </c>
    </row>
    <row r="42" spans="3:4">
      <c r="C42" s="18" t="s">
        <v>1117</v>
      </c>
    </row>
    <row r="43" spans="3:4">
      <c r="C43" s="496" t="str">
        <f>'[2]UPGRADES - ASHWOOD RANGE'!$B$37</f>
        <v>Bank of 3 drawers to vanities</v>
      </c>
      <c r="D43" s="362">
        <f>'[2]UPGRADES - ASHWOOD RANGE'!$K$37</f>
        <v>660</v>
      </c>
    </row>
    <row r="44" spans="3:4">
      <c r="C44" s="233" t="s">
        <v>1181</v>
      </c>
      <c r="D44" s="362">
        <f>'[2]UPGRADES - ASHWOOD RANGE'!$K$38*2</f>
        <v>660</v>
      </c>
    </row>
    <row r="45" spans="3:4">
      <c r="C45" s="233" t="s">
        <v>1182</v>
      </c>
      <c r="D45" s="362">
        <f>'[2]UPGRADES - ASHWOOD RANGE'!$K$38*3</f>
        <v>990</v>
      </c>
    </row>
    <row r="46" spans="3:4">
      <c r="C46" s="233" t="s">
        <v>1191</v>
      </c>
      <c r="D46" s="362">
        <f>'[2]UPGRADES - ASHWOOD RANGE'!$K$39/2*2</f>
        <v>280</v>
      </c>
    </row>
    <row r="47" spans="3:4">
      <c r="C47" s="233" t="s">
        <v>1192</v>
      </c>
      <c r="D47" s="362">
        <f>'[2]UPGRADES - ASHWOOD RANGE'!$K$39/2*3</f>
        <v>420</v>
      </c>
    </row>
    <row r="48" spans="3:4">
      <c r="C48" s="496" t="str">
        <f>'[2]UPGRADES - ASHWOOD RANGE'!$B$40</f>
        <v>Tiled recess shelves</v>
      </c>
      <c r="D48" s="362">
        <f>'[2]UPGRADES - ASHWOOD RANGE'!$K$40</f>
        <v>800</v>
      </c>
    </row>
    <row r="49" spans="3:4">
      <c r="C49" s="496" t="str">
        <f>'[2]UPGRADES - ASHWOOD RANGE'!$B$41</f>
        <v>Extend tiles to 2.1m high on vanity wall</v>
      </c>
      <c r="D49" s="362">
        <f>'[2]UPGRADES - ASHWOOD RANGE'!$K$41</f>
        <v>500</v>
      </c>
    </row>
    <row r="50" spans="3:4">
      <c r="C50" s="496" t="str">
        <f>'[2]UPGRADES - ASHWOOD RANGE'!$B$42</f>
        <v>Extend tiles to 2.1m high on remaining three walls</v>
      </c>
      <c r="D50" s="362">
        <f>'[2]UPGRADES - ASHWOOD RANGE'!$K$42</f>
        <v>1800</v>
      </c>
    </row>
    <row r="52" spans="3:4">
      <c r="C52" s="18" t="s">
        <v>1118</v>
      </c>
    </row>
    <row r="53" spans="3:4">
      <c r="C53" s="496" t="str">
        <f>'[2]UPGRADES - ASHWOOD RANGE'!$B$44</f>
        <v>1200mm Laminate benchtop &amp; cupboards</v>
      </c>
      <c r="D53" s="362">
        <f>'[2]UPGRADES - ASHWOOD RANGE'!$K$44</f>
        <v>1680</v>
      </c>
    </row>
    <row r="54" spans="3:4">
      <c r="C54" s="496" t="str">
        <f>'[2]UPGRADES - ASHWOOD RANGE'!$B$45</f>
        <v>Extend laminate benchtop only by 900mm with powerpoint</v>
      </c>
      <c r="D54" s="362">
        <f>'[2]UPGRADES - ASHWOOD RANGE'!$K$45</f>
        <v>580</v>
      </c>
    </row>
    <row r="55" spans="3:4">
      <c r="C55" s="496" t="str">
        <f>'[2]UPGRADES - ASHWOOD RANGE'!$B$46</f>
        <v>1200mm Overhead cupboards</v>
      </c>
      <c r="D55" s="362">
        <f>'[2]UPGRADES - ASHWOOD RANGE'!$K$46</f>
        <v>1040</v>
      </c>
    </row>
    <row r="56" spans="3:4">
      <c r="C56" s="496" t="str">
        <f>'[2]UPGRADES - ASHWOOD RANGE'!$B$47</f>
        <v>900mm Overhead cupboards</v>
      </c>
      <c r="D56" s="362">
        <f>'[2]UPGRADES - ASHWOOD RANGE'!$K$47</f>
        <v>765</v>
      </c>
    </row>
    <row r="57" spans="3:4">
      <c r="C57" s="496" t="str">
        <f>'[2]UPGRADES - ASHWOOD RANGE'!$B$48</f>
        <v>Hanging rail under overheads</v>
      </c>
      <c r="D57" s="362">
        <f>'[2]UPGRADES - ASHWOOD RANGE'!$K$48</f>
        <v>300</v>
      </c>
    </row>
    <row r="58" spans="3:4">
      <c r="C58" s="496" t="str">
        <f>'[2]UPGRADES - ASHWOOD RANGE'!$B$49</f>
        <v>Pullout laundry basket with drawer</v>
      </c>
      <c r="D58" s="362">
        <f>'[2]UPGRADES - ASHWOOD RANGE'!$K$49</f>
        <v>235</v>
      </c>
    </row>
    <row r="60" spans="3:4">
      <c r="C60" s="18" t="s">
        <v>1214</v>
      </c>
    </row>
    <row r="61" spans="3:4">
      <c r="C61" s="496" t="str">
        <f>'[2]UPGRADES - ASHWOOD RANGE'!$B$51</f>
        <v>Eaves to whole home</v>
      </c>
      <c r="D61" s="497">
        <f>'[2]UPGRADES - ASHWOOD RANGE'!$K$51</f>
        <v>3700</v>
      </c>
    </row>
    <row r="62" spans="3:4">
      <c r="C62" s="496" t="str">
        <f>'[2]UPGRADES - ASHWOOD RANGE'!$B$52</f>
        <v>Add 2100h x 2400w roller door - (2550mm Cielings Required)</v>
      </c>
      <c r="D62" s="362">
        <f>'[2]UPGRADES - ASHWOOD RANGE'!$K$52</f>
        <v>1670</v>
      </c>
    </row>
    <row r="63" spans="3:4">
      <c r="C63" s="496" t="str">
        <f>'[2]UPGRADES - ASHWOOD RANGE'!$B$53</f>
        <v>2550mm ceiling</v>
      </c>
      <c r="D63" s="497">
        <f>'[2]UPGRADES - ASHWOOD RANGE'!$K$53</f>
        <v>3100</v>
      </c>
    </row>
    <row r="65" spans="3:6">
      <c r="C65" s="18" t="s">
        <v>1119</v>
      </c>
    </row>
    <row r="66" spans="3:6">
      <c r="C66" s="18" t="s">
        <v>1120</v>
      </c>
    </row>
    <row r="67" spans="3:6">
      <c r="C67" s="496" t="str">
        <f>'[2]UPGRADES - ASHWOOD RANGE'!$B$56</f>
        <v>Double glazing to whole home (please note: all windows will be awning)</v>
      </c>
      <c r="D67" s="497">
        <f>'[2]UPGRADES - ASHWOOD RANGE'!$K$56</f>
        <v>3200</v>
      </c>
    </row>
    <row r="68" spans="3:6">
      <c r="C68" s="496" t="str">
        <f>'[2]UPGRADES - ASHWOOD RANGE'!$B$57</f>
        <v>Sliding door in lieu of swing</v>
      </c>
      <c r="D68" s="362">
        <f>'[2]UPGRADES - ASHWOOD RANGE'!$K$57</f>
        <v>200</v>
      </c>
    </row>
    <row r="69" spans="3:6">
      <c r="C69" s="496" t="str">
        <f>'[2]UPGRADES - ASHWOOD RANGE'!$B$58</f>
        <v>Wall mounted clothesline</v>
      </c>
      <c r="D69" s="362">
        <f>'[2]UPGRADES - ASHWOOD RANGE'!$K$58</f>
        <v>400</v>
      </c>
    </row>
    <row r="70" spans="3:6">
      <c r="C70" s="496" t="str">
        <f>'[2]UPGRADES - ASHWOOD RANGE'!$B$59</f>
        <v>Letterbox</v>
      </c>
      <c r="D70" s="362">
        <f>'[2]UPGRADES - ASHWOOD RANGE'!$K$59</f>
        <v>350</v>
      </c>
    </row>
    <row r="71" spans="3:6">
      <c r="C71" s="496" t="str">
        <f>'[2]UPGRADES - ASHWOOD RANGE'!$B$60</f>
        <v>Newington front door</v>
      </c>
      <c r="D71" s="362">
        <f>'[2]UPGRADES - ASHWOOD RANGE'!$K$60</f>
        <v>300</v>
      </c>
    </row>
    <row r="72" spans="3:6">
      <c r="C72" s="496" t="str">
        <f>'[2]UPGRADES - ASHWOOD RANGE'!$B$61</f>
        <v>Nexion front door handle</v>
      </c>
      <c r="D72" s="362">
        <f>'[2]UPGRADES - ASHWOOD RANGE'!$K$61</f>
        <v>175</v>
      </c>
    </row>
    <row r="73" spans="3:6">
      <c r="C73" s="496" t="str">
        <f>'[2]UPGRADES - ASHWOOD RANGE'!$B$62</f>
        <v>Brick Upgrade</v>
      </c>
      <c r="D73" s="362">
        <f>'[2]UPGRADES - ASHWOOD RANGE'!$K$62</f>
        <v>720</v>
      </c>
    </row>
    <row r="75" spans="3:6">
      <c r="C75" s="18" t="s">
        <v>1121</v>
      </c>
    </row>
    <row r="76" spans="3:6">
      <c r="C76" s="496" t="str">
        <f>'[2]UPGRADES - ASHWOOD RANGE'!$B$64</f>
        <v>Internal door pack - WIR &amp; rear hallway</v>
      </c>
      <c r="D76" s="362">
        <f>'[2]UPGRADES - ASHWOOD RANGE'!$K$64</f>
        <v>440</v>
      </c>
    </row>
    <row r="77" spans="3:6">
      <c r="C77" s="496" t="str">
        <f>'[2]UPGRADES - ASHWOOD RANGE'!$B$65</f>
        <v>2340mm high internal doors &amp; robe/linen doors - (2550mm Cielings Required)</v>
      </c>
      <c r="D77" s="497">
        <f>'[2]UPGRADES - ASHWOOD RANGE'!$K$65</f>
        <v>1100</v>
      </c>
      <c r="F77" t="s">
        <v>1122</v>
      </c>
    </row>
    <row r="78" spans="3:6">
      <c r="C78" s="496" t="str">
        <f>'[2]UPGRADES - ASHWOOD RANGE'!$B$66</f>
        <v>Single roller blinds</v>
      </c>
      <c r="D78" s="497">
        <f>'[2]UPGRADES - ASHWOOD RANGE'!$K$66</f>
        <v>1770</v>
      </c>
    </row>
    <row r="80" spans="3:6">
      <c r="C80" s="18" t="s">
        <v>509</v>
      </c>
    </row>
    <row r="81" spans="3:4">
      <c r="C81" s="233" t="s">
        <v>1153</v>
      </c>
      <c r="D81" s="362">
        <f>'[2]UPGRADES - ASHWOOD RANGE'!$K$68</f>
        <v>50</v>
      </c>
    </row>
    <row r="82" spans="3:4">
      <c r="C82" s="233" t="s">
        <v>1154</v>
      </c>
      <c r="D82" s="362">
        <f>'[2]UPGRADES - ASHWOOD RANGE'!$K$68*2</f>
        <v>100</v>
      </c>
    </row>
    <row r="83" spans="3:4">
      <c r="C83" s="233" t="s">
        <v>1155</v>
      </c>
      <c r="D83" s="362">
        <f>'[2]UPGRADES - ASHWOOD RANGE'!$K$68*3</f>
        <v>150</v>
      </c>
    </row>
    <row r="84" spans="3:4">
      <c r="C84" s="233" t="s">
        <v>1156</v>
      </c>
      <c r="D84" s="362">
        <f>'[2]UPGRADES - ASHWOOD RANGE'!$K$68*2</f>
        <v>100</v>
      </c>
    </row>
    <row r="85" spans="3:4">
      <c r="C85" s="233" t="s">
        <v>1157</v>
      </c>
      <c r="D85" s="362">
        <f>'[2]UPGRADES - ASHWOOD RANGE'!$K$68*4</f>
        <v>200</v>
      </c>
    </row>
    <row r="86" spans="3:4">
      <c r="C86" s="233" t="s">
        <v>1158</v>
      </c>
      <c r="D86" s="362">
        <f>'[2]UPGRADES - ASHWOOD RANGE'!$K$68*6</f>
        <v>300</v>
      </c>
    </row>
    <row r="87" spans="3:4">
      <c r="C87" s="233" t="s">
        <v>1159</v>
      </c>
      <c r="D87" s="362">
        <f>'[2]UPGRADES - ASHWOOD RANGE'!$K$69</f>
        <v>185</v>
      </c>
    </row>
    <row r="88" spans="3:4">
      <c r="C88" s="233" t="s">
        <v>1160</v>
      </c>
      <c r="D88" s="362">
        <f>'[2]UPGRADES - ASHWOOD RANGE'!$K$69*2</f>
        <v>370</v>
      </c>
    </row>
    <row r="89" spans="3:4">
      <c r="C89" s="233" t="s">
        <v>1161</v>
      </c>
      <c r="D89" s="362">
        <f>'[2]UPGRADES - ASHWOOD RANGE'!$K$69*3</f>
        <v>555</v>
      </c>
    </row>
    <row r="90" spans="3:4">
      <c r="C90" s="233" t="s">
        <v>1162</v>
      </c>
      <c r="D90" s="362">
        <f>'[2]UPGRADES - ASHWOOD RANGE'!$K$69*4</f>
        <v>740</v>
      </c>
    </row>
    <row r="91" spans="3:4">
      <c r="C91" s="233" t="s">
        <v>1163</v>
      </c>
      <c r="D91" s="362">
        <f>'[2]UPGRADES - ASHWOOD RANGE'!$K$69*5</f>
        <v>925</v>
      </c>
    </row>
    <row r="92" spans="3:4">
      <c r="C92" s="233" t="s">
        <v>1164</v>
      </c>
      <c r="D92" s="362">
        <f>'[2]UPGRADES - ASHWOOD RANGE'!$K$69*6</f>
        <v>1110</v>
      </c>
    </row>
    <row r="93" spans="3:4">
      <c r="C93" s="233" t="s">
        <v>1165</v>
      </c>
      <c r="D93" s="362">
        <f>'[2]UPGRADES - ASHWOOD RANGE'!$K$70</f>
        <v>510</v>
      </c>
    </row>
    <row r="94" spans="3:4">
      <c r="C94" s="233" t="s">
        <v>1166</v>
      </c>
      <c r="D94" s="362">
        <f>'[2]UPGRADES - ASHWOOD RANGE'!$K$70*2</f>
        <v>1020</v>
      </c>
    </row>
    <row r="95" spans="3:4">
      <c r="C95" s="233" t="s">
        <v>1167</v>
      </c>
      <c r="D95" s="362">
        <f>'[2]UPGRADES - ASHWOOD RANGE'!$K$70*3</f>
        <v>1530</v>
      </c>
    </row>
    <row r="96" spans="3:4">
      <c r="C96" s="233" t="s">
        <v>1168</v>
      </c>
      <c r="D96" s="362">
        <f>'[2]UPGRADES - ASHWOOD RANGE'!$K$70*4</f>
        <v>2040</v>
      </c>
    </row>
    <row r="97" spans="3:4">
      <c r="C97" s="233" t="s">
        <v>1169</v>
      </c>
      <c r="D97" s="362">
        <f>'[2]UPGRADES - ASHWOOD RANGE'!$K$70*5</f>
        <v>2550</v>
      </c>
    </row>
    <row r="98" spans="3:4">
      <c r="C98" s="233" t="s">
        <v>1170</v>
      </c>
      <c r="D98" s="362">
        <f>'[2]UPGRADES - ASHWOOD RANGE'!$K$70*6</f>
        <v>3060</v>
      </c>
    </row>
    <row r="100" spans="3:4">
      <c r="C100" s="18" t="s">
        <v>1123</v>
      </c>
    </row>
    <row r="101" spans="3:4">
      <c r="C101" s="496" t="str">
        <f>'[2]UPGRADES - ASHWOOD RANGE'!$B$72</f>
        <v>600mm stainless steel oven &amp; canopy rangehood and electric cooktop</v>
      </c>
      <c r="D101" s="362">
        <f>'[2]UPGRADES - ASHWOOD RANGE'!$K$72</f>
        <v>365</v>
      </c>
    </row>
    <row r="102" spans="3:4">
      <c r="C102" s="496" t="str">
        <f>'[2]UPGRADES - ASHWOOD RANGE'!$B$73</f>
        <v>900mm black inbuilt oven, cooktop &amp; canopy rangehood</v>
      </c>
      <c r="D102" s="362">
        <f>'[2]UPGRADES - ASHWOOD RANGE'!$K$73</f>
        <v>1870</v>
      </c>
    </row>
    <row r="103" spans="3:4">
      <c r="C103" s="496" t="str">
        <f>'[2]UPGRADES - ASHWOOD RANGE'!$B$74</f>
        <v>900mm stainless steel inbuilt oven, cooktop &amp; canopy rangehood</v>
      </c>
      <c r="D103" s="362">
        <f>'[2]UPGRADES - ASHWOOD RANGE'!$K$74</f>
        <v>1860</v>
      </c>
    </row>
    <row r="104" spans="3:4">
      <c r="C104" s="496" t="str">
        <f>'[2]UPGRADES - ASHWOOD RANGE'!$B$75</f>
        <v>900mm black undermount rangehood in lieu of canopy</v>
      </c>
      <c r="D104" s="362">
        <f>'[2]UPGRADES - ASHWOOD RANGE'!$K$75</f>
        <v>800</v>
      </c>
    </row>
    <row r="105" spans="3:4">
      <c r="C105" s="496" t="str">
        <f>'[2]UPGRADES - ASHWOOD RANGE'!$B$76</f>
        <v>900mm stainless steel undermount rangehood in lieu of canopy</v>
      </c>
      <c r="D105" s="362">
        <f>'[2]UPGRADES - ASHWOOD RANGE'!$K$76</f>
        <v>770</v>
      </c>
    </row>
    <row r="106" spans="3:4">
      <c r="C106" s="496" t="str">
        <f>'[2]UPGRADES - ASHWOOD RANGE'!$B$77</f>
        <v>Stainless steel dishwasher</v>
      </c>
      <c r="D106" s="362">
        <f>'[2]UPGRADES - ASHWOOD RANGE'!$K$77</f>
        <v>700</v>
      </c>
    </row>
    <row r="107" spans="3:4">
      <c r="C107" s="496" t="str">
        <f>'[2]UPGRADES - ASHWOOD RANGE'!$B$78</f>
        <v>Black dishwasher</v>
      </c>
      <c r="D107" s="362">
        <f>'[2]UPGRADES - ASHWOOD RANGE'!$K$78</f>
        <v>750</v>
      </c>
    </row>
    <row r="108" spans="3:4">
      <c r="C108" s="496" t="str">
        <f>'[2]UPGRADES - ASHWOOD RANGE'!$B$79</f>
        <v>Cold water point for fridge</v>
      </c>
      <c r="D108" s="362">
        <f>'[2]UPGRADES - ASHWOOD RANGE'!$K$79</f>
        <v>200</v>
      </c>
    </row>
    <row r="109" spans="3:4">
      <c r="C109" s="233" t="s">
        <v>1183</v>
      </c>
      <c r="D109" s="362">
        <f>'[2]UPGRADES - ASHWOOD RANGE'!$K$80</f>
        <v>350</v>
      </c>
    </row>
    <row r="110" spans="3:4">
      <c r="C110" s="233" t="s">
        <v>1184</v>
      </c>
      <c r="D110" s="362">
        <f>'[2]UPGRADES - ASHWOOD RANGE'!$K$80*2</f>
        <v>700</v>
      </c>
    </row>
    <row r="111" spans="3:4">
      <c r="C111" s="233" t="s">
        <v>1185</v>
      </c>
      <c r="D111" s="362">
        <f>'[2]UPGRADES - ASHWOOD RANGE'!$K$80*3</f>
        <v>1050</v>
      </c>
    </row>
    <row r="112" spans="3:4">
      <c r="C112" s="233" t="s">
        <v>1186</v>
      </c>
      <c r="D112" s="362">
        <f>'[2]UPGRADES - ASHWOOD RANGE'!$K$80*4</f>
        <v>1400</v>
      </c>
    </row>
    <row r="113" spans="3:4">
      <c r="C113" s="233" t="s">
        <v>1187</v>
      </c>
      <c r="D113" s="362">
        <f>'[2]UPGRADES - ASHWOOD RANGE'!$K$80*5</f>
        <v>1750</v>
      </c>
    </row>
    <row r="114" spans="3:4">
      <c r="C114" s="496" t="str">
        <f>'[2]UPGRADES - ASHWOOD RANGE'!$B$81</f>
        <v xml:space="preserve">20mm Stone benchtops- Standard </v>
      </c>
      <c r="D114" s="362">
        <f>'[2]UPGRADES - ASHWOOD RANGE'!$K$81</f>
        <v>3230</v>
      </c>
    </row>
    <row r="115" spans="3:4">
      <c r="C115" s="496" t="str">
        <f>'[2]UPGRADES - ASHWOOD RANGE'!$B$82</f>
        <v>20mm Stone benchtops - The Entertainers Kitchen</v>
      </c>
      <c r="D115" s="362">
        <f>'[2]UPGRADES - ASHWOOD RANGE'!$K$82</f>
        <v>3530</v>
      </c>
    </row>
    <row r="116" spans="3:4">
      <c r="C116" s="496" t="str">
        <f>'[2]UPGRADES - ASHWOOD RANGE'!$B$83</f>
        <v>20mm Stone benchtops - The Modern Chefs Kitchen</v>
      </c>
      <c r="D116" s="362">
        <f>'[2]UPGRADES - ASHWOOD RANGE'!$K$83</f>
        <v>3850</v>
      </c>
    </row>
    <row r="117" spans="3:4">
      <c r="C117" s="496" t="str">
        <f>'[2]UPGRADES - ASHWOOD RANGE'!$B$84</f>
        <v>20mm Stone waterfall ends</v>
      </c>
      <c r="D117" s="362">
        <f>'[2]UPGRADES - ASHWOOD RANGE'!$K$84</f>
        <v>1480</v>
      </c>
    </row>
    <row r="118" spans="3:4">
      <c r="C118" s="496" t="str">
        <f>'[2]UPGRADES - ASHWOOD RANGE'!$B$85</f>
        <v xml:space="preserve">40mm Stone benchtops- Standard </v>
      </c>
      <c r="D118" s="362">
        <f>'[2]UPGRADES - ASHWOOD RANGE'!$K$85</f>
        <v>4130</v>
      </c>
    </row>
    <row r="119" spans="3:4">
      <c r="C119" s="496" t="str">
        <f>'[2]UPGRADES - ASHWOOD RANGE'!$B$86</f>
        <v>40mm Stone benchtops- The Entertainers Kitchen</v>
      </c>
      <c r="D119" s="362">
        <f>'[2]UPGRADES - ASHWOOD RANGE'!$K$86</f>
        <v>4520</v>
      </c>
    </row>
    <row r="120" spans="3:4">
      <c r="C120" s="496" t="str">
        <f>'[2]UPGRADES - ASHWOOD RANGE'!$B$87</f>
        <v>40mm Stone benchtops - The Modern Chefs Kitchen</v>
      </c>
      <c r="D120" s="362">
        <f>'[2]UPGRADES - ASHWOOD RANGE'!$K$87</f>
        <v>4980</v>
      </c>
    </row>
    <row r="121" spans="3:4">
      <c r="C121" s="496" t="str">
        <f>'[2]UPGRADES - ASHWOOD RANGE'!$B$88</f>
        <v>40mm Stone waterfall ends</v>
      </c>
      <c r="D121" s="362">
        <f>'[2]UPGRADES - ASHWOOD RANGE'!$K$88</f>
        <v>1720</v>
      </c>
    </row>
    <row r="122" spans="3:4">
      <c r="C122" s="496" t="str">
        <f>'[2]UPGRADES - ASHWOOD RANGE'!$B$89</f>
        <v>Double bowl sink</v>
      </c>
      <c r="D122" s="362">
        <f>'[2]UPGRADES - ASHWOOD RANGE'!$K$89</f>
        <v>350</v>
      </c>
    </row>
    <row r="123" spans="3:4">
      <c r="C123" s="496" t="str">
        <f>'[2]UPGRADES - ASHWOOD RANGE'!$B$90</f>
        <v>Upgrade vegie kitchen mixer in chrome</v>
      </c>
      <c r="D123" s="362">
        <f>'[2]UPGRADES - ASHWOOD RANGE'!$K$90</f>
        <v>120</v>
      </c>
    </row>
    <row r="124" spans="3:4">
      <c r="C124" s="496" t="str">
        <f>'[2]UPGRADES - ASHWOOD RANGE'!$B$91</f>
        <v>Upgrade vegie kitchen mixer in black</v>
      </c>
      <c r="D124" s="362">
        <f>'[2]UPGRADES - ASHWOOD RANGE'!$K$91</f>
        <v>130</v>
      </c>
    </row>
    <row r="125" spans="3:4">
      <c r="C125" s="496" t="str">
        <f>'[2]UPGRADES - ASHWOOD RANGE'!$B$92</f>
        <v>Upgrade cabinetry handles</v>
      </c>
      <c r="D125" s="362">
        <f>'[2]UPGRADES - ASHWOOD RANGE'!$K$92</f>
        <v>120</v>
      </c>
    </row>
    <row r="127" spans="3:4">
      <c r="C127" s="18" t="s">
        <v>1117</v>
      </c>
    </row>
    <row r="128" spans="3:4">
      <c r="C128" s="496" t="str">
        <f>'[2]UPGRADES - ASHWOOD RANGE'!$B$94</f>
        <v>20mm Stone benchtops</v>
      </c>
      <c r="D128" s="362">
        <f>'[2]UPGRADES - ASHWOOD RANGE'!$K$94</f>
        <v>900</v>
      </c>
    </row>
    <row r="129" spans="3:4">
      <c r="C129" s="496" t="str">
        <f>'[2]UPGRADES - ASHWOOD RANGE'!$B$95</f>
        <v>Dual shower heads</v>
      </c>
      <c r="D129" s="362">
        <f>'[2]UPGRADES - ASHWOOD RANGE'!$K$95</f>
        <v>440</v>
      </c>
    </row>
    <row r="130" spans="3:4">
      <c r="C130" s="496" t="str">
        <f>'[2]UPGRADES - ASHWOOD RANGE'!$B$96</f>
        <v>Additional towel rails</v>
      </c>
      <c r="D130" s="362">
        <f>'[2]UPGRADES - ASHWOOD RANGE'!$K$96</f>
        <v>160</v>
      </c>
    </row>
    <row r="131" spans="3:4">
      <c r="C131" s="496" t="str">
        <f>'[2]UPGRADES - ASHWOOD RANGE'!$B$97</f>
        <v>Upgrade tapware and accessories to Winton in chrome</v>
      </c>
      <c r="D131" s="362">
        <f>'[2]UPGRADES - ASHWOOD RANGE'!$K$97</f>
        <v>630</v>
      </c>
    </row>
    <row r="132" spans="3:4">
      <c r="C132" s="496" t="str">
        <f>'[2]UPGRADES - ASHWOOD RANGE'!$B$98</f>
        <v>Upgrade tapware and accessories to Winton in black</v>
      </c>
      <c r="D132" s="362">
        <f>'[2]UPGRADES - ASHWOOD RANGE'!$K$98</f>
        <v>700</v>
      </c>
    </row>
    <row r="133" spans="3:4">
      <c r="C133" s="496" t="str">
        <f>'[2]UPGRADES - ASHWOOD RANGE'!$B$99</f>
        <v>Upgrade vanity basins</v>
      </c>
      <c r="D133" s="362">
        <f>'[2]UPGRADES - ASHWOOD RANGE'!$K$99</f>
        <v>300</v>
      </c>
    </row>
    <row r="134" spans="3:4">
      <c r="C134" s="496" t="str">
        <f>'[2]UPGRADES - ASHWOOD RANGE'!$B$100</f>
        <v>Upgrade cabinetry handles including laundry</v>
      </c>
      <c r="D134" s="362">
        <f>'[2]UPGRADES - ASHWOOD RANGE'!$K$100</f>
        <v>105</v>
      </c>
    </row>
    <row r="136" spans="3:4">
      <c r="C136" s="18" t="s">
        <v>506</v>
      </c>
    </row>
    <row r="137" spans="3:4">
      <c r="C137" s="496" t="str">
        <f>'[2]UPGRADES - ASHWOOD RANGE'!$B$105</f>
        <v>Downlight Pack 1: Entry &amp; Family room</v>
      </c>
      <c r="D137" s="497">
        <f>'[2]UPGRADES - ASHWOOD RANGE'!$K$105</f>
        <v>930</v>
      </c>
    </row>
    <row r="138" spans="3:4">
      <c r="C138" s="496" t="str">
        <f>'[2]UPGRADES - ASHWOOD RANGE'!$B$106</f>
        <v>Downlight Pack 2: Whole home</v>
      </c>
      <c r="D138" s="497">
        <f>'[2]UPGRADES - ASHWOOD RANGE'!$K$106</f>
        <v>1520</v>
      </c>
    </row>
    <row r="139" spans="3:4">
      <c r="C139" s="496" t="str">
        <f>'[2]UPGRADES - ASHWOOD RANGE'!$B$107</f>
        <v>External Pack 1: Downlights to porch &amp; front eave</v>
      </c>
      <c r="D139" s="362">
        <f>'[2]UPGRADES - ASHWOOD RANGE'!$K$107</f>
        <v>160</v>
      </c>
    </row>
    <row r="140" spans="3:4">
      <c r="C140" s="496" t="str">
        <f>'[2]UPGRADES - ASHWOOD RANGE'!$B$108</f>
        <v>External Pack 2: 2 x Up/down lights, 2 downlights to outdoor living &amp; 2 floodlights</v>
      </c>
      <c r="D140" s="362">
        <f>'[2]UPGRADES - ASHWOOD RANGE'!$K$108</f>
        <v>1070</v>
      </c>
    </row>
    <row r="141" spans="3:4">
      <c r="C141" s="496" t="str">
        <f>'[2]UPGRADES - ASHWOOD RANGE'!$B$109</f>
        <v>Pendant Pack: 3 Pendants to island bench</v>
      </c>
      <c r="D141" s="362">
        <f>'[2]UPGRADES - ASHWOOD RANGE'!$K$109</f>
        <v>1160</v>
      </c>
    </row>
    <row r="142" spans="3:4">
      <c r="C142" s="496" t="str">
        <f>'[2]UPGRADES - ASHWOOD RANGE'!$B$110</f>
        <v>Fan Pack 1: Ceiling fans to all bedrooms</v>
      </c>
      <c r="D142" s="497">
        <f>'[2]UPGRADES - ASHWOOD RANGE'!$K$110</f>
        <v>1730</v>
      </c>
    </row>
    <row r="143" spans="3:4">
      <c r="C143" s="496" t="str">
        <f>'[2]UPGRADES - ASHWOOD RANGE'!$B$111</f>
        <v>Fan Pack 2: Ceiling fans to living areas</v>
      </c>
      <c r="D143" s="362">
        <f>'[2]UPGRADES - ASHWOOD RANGE'!$K$111</f>
        <v>930</v>
      </c>
    </row>
    <row r="144" spans="3:4">
      <c r="C144" s="496" t="str">
        <f>'[2]UPGRADES - ASHWOOD RANGE'!$B$112</f>
        <v>Fan Pack 3: Ceiling fan to outdoor living</v>
      </c>
      <c r="D144" s="362">
        <f>'[2]UPGRADES - ASHWOOD RANGE'!$K$112</f>
        <v>470</v>
      </c>
    </row>
    <row r="145" spans="3:4">
      <c r="C145" s="496" t="str">
        <f>'[2]UPGRADES - ASHWOOD RANGE'!$B$113</f>
        <v>TV antenna</v>
      </c>
      <c r="D145" s="362">
        <f>'[2]UPGRADES - ASHWOOD RANGE'!$K$113</f>
        <v>590</v>
      </c>
    </row>
    <row r="146" spans="3:4">
      <c r="C146" s="496" t="str">
        <f>'[2]UPGRADES - ASHWOOD RANGE'!$B$114</f>
        <v>TV Pack: 2 x TV points &amp; 2 x double powerpoints</v>
      </c>
      <c r="D146" s="362">
        <f>'[2]UPGRADES - ASHWOOD RANGE'!$K$114</f>
        <v>340</v>
      </c>
    </row>
    <row r="147" spans="3:4">
      <c r="C147" s="496" t="str">
        <f>'[2]UPGRADES - ASHWOOD RANGE'!$B$115</f>
        <v>Powerpoint Pack 1: 5 x Double powerpoints</v>
      </c>
      <c r="D147" s="362">
        <f>'[2]UPGRADES - ASHWOOD RANGE'!$K$115</f>
        <v>430</v>
      </c>
    </row>
    <row r="148" spans="3:4">
      <c r="C148" s="496" t="str">
        <f>'[2]UPGRADES - ASHWOOD RANGE'!$B$116</f>
        <v>Powerpoint Pack 2: 10 x Double powerpoints</v>
      </c>
      <c r="D148" s="362">
        <f>'[2]UPGRADES - ASHWOOD RANGE'!$K$116</f>
        <v>850</v>
      </c>
    </row>
    <row r="150" spans="3:4">
      <c r="C150" s="18" t="s">
        <v>1124</v>
      </c>
    </row>
    <row r="151" spans="3:4">
      <c r="C151" s="496" t="str">
        <f>'[2]UPGRADES - ASHWOOD RANGE'!$B$102</f>
        <v>1 x Additional split system - (3.5kw)</v>
      </c>
      <c r="D151" s="362">
        <f>'[2]UPGRADES - ASHWOOD RANGE'!$K$102</f>
        <v>3200</v>
      </c>
    </row>
    <row r="152" spans="3:4">
      <c r="C152" s="233" t="s">
        <v>1188</v>
      </c>
      <c r="D152" s="362">
        <f>'[2]UPGRADES - ASHWOOD RANGE'!$K$102*2</f>
        <v>6400</v>
      </c>
    </row>
    <row r="153" spans="3:4">
      <c r="C153" s="233" t="s">
        <v>1189</v>
      </c>
      <c r="D153" s="362">
        <f>'[2]UPGRADES - ASHWOOD RANGE'!$K$102*3</f>
        <v>9600</v>
      </c>
    </row>
    <row r="154" spans="3:4">
      <c r="C154" s="233" t="s">
        <v>1190</v>
      </c>
      <c r="D154" s="362">
        <f>'[2]UPGRADES - ASHWOOD RANGE'!$K$102*4</f>
        <v>12800</v>
      </c>
    </row>
    <row r="155" spans="3:4">
      <c r="C155" s="496" t="str">
        <f>'[2]UPGRADES - ASHWOOD RANGE'!$B$103</f>
        <v>Upgrade to reverse cycle ducted system</v>
      </c>
      <c r="D155" s="497">
        <f>'[2]UPGRADES - ASHWOOD RANGE'!$K$103</f>
        <v>10900</v>
      </c>
    </row>
    <row r="156" spans="3:4" ht="13.95" customHeight="1"/>
    <row r="157" spans="3:4">
      <c r="C157" s="18" t="s">
        <v>1125</v>
      </c>
    </row>
    <row r="158" spans="3:4">
      <c r="C158" s="496" t="str">
        <f>'[2]UPGRADES - ASHWOOD RANGE'!$B$118</f>
        <v>Upgrade carpet</v>
      </c>
      <c r="D158" s="362">
        <f>'[2]UPGRADES - ASHWOOD RANGE'!$K$118</f>
        <v>450</v>
      </c>
    </row>
    <row r="159" spans="3:4">
      <c r="C159" s="496" t="str">
        <f>'[2]UPGRADES - ASHWOOD RANGE'!$B$119</f>
        <v>Upgrade tiles to wet area floor &amp; walls</v>
      </c>
      <c r="D159" s="362">
        <f>'[2]UPGRADES - ASHWOOD RANGE'!$K$119</f>
        <v>600</v>
      </c>
    </row>
    <row r="160" spans="3:4">
      <c r="C160" s="496" t="str">
        <f>'[2]UPGRADES - ASHWOOD RANGE'!$B$120</f>
        <v>Upgrade tiles to main area floors</v>
      </c>
      <c r="D160" s="362">
        <f>'[2]UPGRADES - ASHWOOD RANGE'!$K$120</f>
        <v>1500</v>
      </c>
    </row>
    <row r="161" spans="3:6">
      <c r="C161" s="496" t="str">
        <f>'[2]UPGRADES - ASHWOOD RANGE'!$B$121</f>
        <v>Upgrade tiles to kitchen &amp; laundry splashback</v>
      </c>
      <c r="D161" s="362">
        <f>'[2]UPGRADES - ASHWOOD RANGE'!$K$121</f>
        <v>300</v>
      </c>
      <c r="F161" t="s">
        <v>1126</v>
      </c>
    </row>
    <row r="162" spans="3:6">
      <c r="C162" s="496" t="str">
        <f>'[2]UPGRADES - ASHWOOD RANGE'!$B$122</f>
        <v>Upgrade to vinyl</v>
      </c>
      <c r="D162" s="497">
        <f>'[2]UPGRADES - ASHWOOD RANGE'!$K$122</f>
        <v>2700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5D53-0F26-4407-BE2C-8F3BCAA43611}">
  <dimension ref="C3:F162"/>
  <sheetViews>
    <sheetView topLeftCell="A39" workbookViewId="0">
      <selection activeCell="J66" sqref="J66"/>
    </sheetView>
  </sheetViews>
  <sheetFormatPr defaultRowHeight="14.4"/>
  <cols>
    <col min="3" max="3" width="59" bestFit="1" customWidth="1"/>
    <col min="4" max="4" width="11.33203125" style="361" bestFit="1" customWidth="1"/>
  </cols>
  <sheetData>
    <row r="3" spans="3:4">
      <c r="C3" s="18" t="s">
        <v>1112</v>
      </c>
    </row>
    <row r="4" spans="3:4">
      <c r="C4" s="496" t="str">
        <f>'[2]UPGRADES - ASHWOOD RANGE'!$B$6</f>
        <v>Extend garage by 500mm</v>
      </c>
      <c r="D4" s="362">
        <f>'[2]UPGRADES - ASHWOOD RANGE'!$L$6</f>
        <v>2500</v>
      </c>
    </row>
    <row r="5" spans="3:4">
      <c r="C5" s="496" t="str">
        <f>'[2]UPGRADES - ASHWOOD RANGE'!$B$7</f>
        <v>Extend garage by 1000mm</v>
      </c>
      <c r="D5" s="362">
        <f>'[2]UPGRADES - ASHWOOD RANGE'!$L$7</f>
        <v>5000</v>
      </c>
    </row>
    <row r="6" spans="3:4">
      <c r="C6" s="496" t="str">
        <f>'[2]UPGRADES - ASHWOOD RANGE'!$B$8</f>
        <v>Outdoor Living - addition 1</v>
      </c>
      <c r="D6" s="362">
        <f>'[2]UPGRADES - ASHWOOD RANGE'!$L$8</f>
        <v>4350</v>
      </c>
    </row>
    <row r="7" spans="3:4">
      <c r="C7" s="496" t="str">
        <f>'[2]UPGRADES - ASHWOOD RANGE'!$B$9</f>
        <v>Outdoor Living - brick pier in lieu of steel post</v>
      </c>
      <c r="D7" s="497">
        <f>'[2]UPGRADES - ASHWOOD RANGE'!$L$9</f>
        <v>800</v>
      </c>
    </row>
    <row r="8" spans="3:4">
      <c r="C8" s="496" t="str">
        <f>'[2]UPGRADES - ASHWOOD RANGE'!$B10</f>
        <v xml:space="preserve">Additional concrete - outdoor living </v>
      </c>
      <c r="D8" s="362">
        <f>'[2]UPGRADES - ASHWOOD RANGE'!$L$10</f>
        <v>1260</v>
      </c>
    </row>
    <row r="9" spans="3:4">
      <c r="C9" s="496" t="str">
        <f>'[2]UPGRADES - ASHWOOD RANGE'!$B$11</f>
        <v>Outdoor Living - addition 2</v>
      </c>
      <c r="D9" s="362">
        <f>'[2]UPGRADES - ASHWOOD RANGE'!$L$11</f>
        <v>7100</v>
      </c>
    </row>
    <row r="10" spans="3:4">
      <c r="C10" s="496" t="str">
        <f>'[2]UPGRADES - ASHWOOD RANGE'!$B$12</f>
        <v>Outdoor Living - brick pier in lieu of steel post</v>
      </c>
      <c r="D10" s="497">
        <f>'[2]UPGRADES - ASHWOOD RANGE'!$L$12</f>
        <v>800</v>
      </c>
    </row>
    <row r="11" spans="3:4">
      <c r="C11" s="496" t="str">
        <f>'[2]UPGRADES - ASHWOOD RANGE'!$B$13</f>
        <v xml:space="preserve">Additional concrete- Outdoor living </v>
      </c>
      <c r="D11" s="362">
        <f>'[2]UPGRADES - ASHWOOD RANGE'!$L$13</f>
        <v>1960</v>
      </c>
    </row>
    <row r="12" spans="3:4">
      <c r="C12" s="496" t="str">
        <f>'[2]UPGRADES - ASHWOOD RANGE'!$B$14</f>
        <v>Kitchen - Upgrade 1 - The Entertainers Kitchen</v>
      </c>
      <c r="D12" s="362">
        <f>'[2]UPGRADES - ASHWOOD RANGE'!$L$14</f>
        <v>980</v>
      </c>
    </row>
    <row r="13" spans="3:4">
      <c r="C13" s="496" t="str">
        <f>'[2]UPGRADES - ASHWOOD RANGE'!$B$15</f>
        <v>Kitchen - Upgrade 2 - The Modern Chef Kitchen</v>
      </c>
      <c r="D13" s="362">
        <f>'[2]UPGRADES - ASHWOOD RANGE'!$L$15</f>
        <v>2850</v>
      </c>
    </row>
    <row r="14" spans="3:4">
      <c r="C14" s="496" t="str">
        <f>'[2]UPGRADES - ASHWOOD RANGE'!$B$16</f>
        <v>Ensuite - Upgrade 1 - The Signature Ensuite</v>
      </c>
      <c r="D14" s="362">
        <f>'[2]UPGRADES - ASHWOOD RANGE'!$L$16</f>
        <v>600</v>
      </c>
    </row>
    <row r="15" spans="3:4">
      <c r="C15" s="496" t="str">
        <f>'[2]UPGRADES - ASHWOOD RANGE'!$B$17</f>
        <v>Ensuite - Upgrade 2 - The Indulgence Ensuite</v>
      </c>
      <c r="D15" s="362">
        <f>'[2]UPGRADES - ASHWOOD RANGE'!$L$17</f>
        <v>2780</v>
      </c>
    </row>
    <row r="17" spans="3:4">
      <c r="C17" s="18" t="s">
        <v>1113</v>
      </c>
    </row>
    <row r="18" spans="3:4">
      <c r="C18" s="233" t="s">
        <v>1114</v>
      </c>
      <c r="D18" s="498" t="s">
        <v>267</v>
      </c>
    </row>
    <row r="19" spans="3:4">
      <c r="C19" s="233" t="str">
        <f>'[2]UPGRADES - ASHWOOD RANGE'!$B$19</f>
        <v>1 The Retreat Façade</v>
      </c>
      <c r="D19" s="362">
        <f>'[2]UPGRADES - ASHWOOD RANGE'!$L$19</f>
        <v>3300</v>
      </c>
    </row>
    <row r="20" spans="3:4">
      <c r="C20" s="233" t="str">
        <f>'[2]UPGRADES - ASHWOOD RANGE'!$B$20</f>
        <v>2 The Rise Façade</v>
      </c>
      <c r="D20" s="362">
        <f>'[2]UPGRADES - ASHWOOD RANGE'!$L$20</f>
        <v>7300</v>
      </c>
    </row>
    <row r="21" spans="3:4">
      <c r="C21" s="233" t="str">
        <f>'[2]UPGRADES - ASHWOOD RANGE'!$B$21</f>
        <v>3 The Escape Façade</v>
      </c>
      <c r="D21" s="362">
        <f>'[2]UPGRADES - ASHWOOD RANGE'!$L$21</f>
        <v>8950</v>
      </c>
    </row>
    <row r="22" spans="3:4">
      <c r="C22" s="233" t="str">
        <f>'[2]UPGRADES - ASHWOOD RANGE'!$B$22</f>
        <v>4 The Essence Façade</v>
      </c>
      <c r="D22" s="362">
        <f>'[2]UPGRADES - ASHWOOD RANGE'!$L$22</f>
        <v>6500</v>
      </c>
    </row>
    <row r="23" spans="3:4">
      <c r="C23" s="233" t="str">
        <f>'[2]UPGRADES - ASHWOOD RANGE'!$B$23</f>
        <v>5 The Sanctuary Façade</v>
      </c>
      <c r="D23" s="362">
        <f>'[2]UPGRADES - ASHWOOD RANGE'!$L$23</f>
        <v>9050</v>
      </c>
    </row>
    <row r="24" spans="3:4">
      <c r="C24" s="233" t="str">
        <f>'[2]UPGRADES - ASHWOOD RANGE'!$B$24</f>
        <v>6. The Summit Façade</v>
      </c>
      <c r="D24" s="362">
        <f>'[2]UPGRADES - ASHWOOD RANGE'!$L$24</f>
        <v>8500</v>
      </c>
    </row>
    <row r="25" spans="3:4">
      <c r="C25" s="233" t="str">
        <f>'[2]UPGRADES - ASHWOOD RANGE'!$B$25</f>
        <v>7. The Haven Facade</v>
      </c>
      <c r="D25" s="362">
        <f>'[2]UPGRADES - ASHWOOD RANGE'!$L$25</f>
        <v>8500</v>
      </c>
    </row>
    <row r="26" spans="3:4">
      <c r="C26" s="233" t="str">
        <f>'[2]UPGRADES - ASHWOOD RANGE'!$B$26</f>
        <v>9. The Horizon Façade</v>
      </c>
      <c r="D26" s="362">
        <f>'[2]UPGRADES - ASHWOOD RANGE'!$L$26</f>
        <v>10500</v>
      </c>
    </row>
    <row r="28" spans="3:4">
      <c r="C28" s="18" t="s">
        <v>1115</v>
      </c>
    </row>
    <row r="29" spans="3:4">
      <c r="C29" s="18" t="s">
        <v>1116</v>
      </c>
    </row>
    <row r="30" spans="3:4">
      <c r="C30" s="496" t="str">
        <f>'[2]UPGRADES - ASHWOOD RANGE'!$B29</f>
        <v>600mm overhead either side of rangehood</v>
      </c>
      <c r="D30" s="362">
        <f>'[2]UPGRADES - ASHWOOD RANGE'!$L$29</f>
        <v>990</v>
      </c>
    </row>
    <row r="31" spans="3:4">
      <c r="C31" s="496" t="str">
        <f>'[2]UPGRADES - ASHWOOD RANGE'!$B30</f>
        <v>Overhead cupboards with integrated rangehood</v>
      </c>
      <c r="D31" s="362">
        <f>'[2]UPGRADES - ASHWOOD RANGE'!$L$30</f>
        <v>2120</v>
      </c>
    </row>
    <row r="32" spans="3:4">
      <c r="C32" s="496" t="str">
        <f>'[2]UPGRADES - ASHWOOD RANGE'!$B31</f>
        <v>Fridge overhead cupboard</v>
      </c>
      <c r="D32" s="362">
        <f>'[2]UPGRADES - ASHWOOD RANGE'!$L$31</f>
        <v>960</v>
      </c>
    </row>
    <row r="33" spans="3:4">
      <c r="C33" s="233" t="s">
        <v>1147</v>
      </c>
      <c r="D33" s="362">
        <f>'[2]UPGRADES - ASHWOOD RANGE'!$L$32</f>
        <v>330</v>
      </c>
    </row>
    <row r="34" spans="3:4">
      <c r="C34" s="233" t="s">
        <v>1148</v>
      </c>
      <c r="D34" s="362">
        <f>'[2]UPGRADES - ASHWOOD RANGE'!$L$32*2</f>
        <v>660</v>
      </c>
    </row>
    <row r="35" spans="3:4">
      <c r="C35" s="233" t="s">
        <v>1149</v>
      </c>
      <c r="D35" s="362">
        <f>'[2]UPGRADES - ASHWOOD RANGE'!$L$32*3</f>
        <v>990</v>
      </c>
    </row>
    <row r="36" spans="3:4">
      <c r="C36" s="233" t="s">
        <v>1150</v>
      </c>
      <c r="D36" s="362">
        <f>'[2]UPGRADES - ASHWOOD RANGE'!$L$32*4</f>
        <v>1320</v>
      </c>
    </row>
    <row r="37" spans="3:4">
      <c r="C37" s="233" t="s">
        <v>1151</v>
      </c>
      <c r="D37" s="362">
        <f>'[2]UPGRADES - ASHWOOD RANGE'!$L$32*5</f>
        <v>1650</v>
      </c>
    </row>
    <row r="38" spans="3:4">
      <c r="C38" s="496" t="str">
        <f>'[2]UPGRADES - ASHWOOD RANGE'!$B$33</f>
        <v>Microwave cavity with drawer below</v>
      </c>
      <c r="D38" s="362">
        <f>'[2]UPGRADES - ASHWOOD RANGE'!$L$33</f>
        <v>415</v>
      </c>
    </row>
    <row r="39" spans="3:4">
      <c r="C39" s="496" t="str">
        <f>'[2]UPGRADES - ASHWOOD RANGE'!$B$34</f>
        <v>Twin bin with drawer below</v>
      </c>
      <c r="D39" s="362">
        <f>'[2]UPGRADES - ASHWOOD RANGE'!$L$34</f>
        <v>250</v>
      </c>
    </row>
    <row r="40" spans="3:4">
      <c r="C40" s="496" t="str">
        <f>'[2]UPGRADES - ASHWOOD RANGE'!$B$35</f>
        <v xml:space="preserve">1212 No Bottom Reveal Window </v>
      </c>
      <c r="D40" s="362">
        <f>'[2]UPGRADES - ASHWOOD RANGE'!$L$35</f>
        <v>390</v>
      </c>
    </row>
    <row r="42" spans="3:4">
      <c r="C42" s="18" t="s">
        <v>1117</v>
      </c>
    </row>
    <row r="43" spans="3:4">
      <c r="C43" s="496" t="str">
        <f>'[2]UPGRADES - ASHWOOD RANGE'!$B$37</f>
        <v>Bank of 3 drawers to vanities</v>
      </c>
      <c r="D43" s="362">
        <f>'[2]UPGRADES - ASHWOOD RANGE'!$L$37</f>
        <v>660</v>
      </c>
    </row>
    <row r="44" spans="3:4">
      <c r="C44" s="233" t="s">
        <v>1181</v>
      </c>
      <c r="D44" s="362">
        <f>'[2]UPGRADES - ASHWOOD RANGE'!$L$38*2</f>
        <v>660</v>
      </c>
    </row>
    <row r="45" spans="3:4">
      <c r="C45" s="233" t="s">
        <v>1182</v>
      </c>
      <c r="D45" s="362">
        <f>'[2]UPGRADES - ASHWOOD RANGE'!$L$38*3</f>
        <v>990</v>
      </c>
    </row>
    <row r="46" spans="3:4">
      <c r="C46" s="233" t="s">
        <v>1191</v>
      </c>
      <c r="D46" s="362">
        <f>'[2]UPGRADES - ASHWOOD RANGE'!$L$39/2*2</f>
        <v>280</v>
      </c>
    </row>
    <row r="47" spans="3:4">
      <c r="C47" s="233" t="s">
        <v>1192</v>
      </c>
      <c r="D47" s="362">
        <f>'[2]UPGRADES - ASHWOOD RANGE'!$L$39/2*3</f>
        <v>420</v>
      </c>
    </row>
    <row r="48" spans="3:4">
      <c r="C48" s="496" t="str">
        <f>'[2]UPGRADES - ASHWOOD RANGE'!$B$40</f>
        <v>Tiled recess shelves</v>
      </c>
      <c r="D48" s="362">
        <f>'[2]UPGRADES - ASHWOOD RANGE'!$L$40</f>
        <v>800</v>
      </c>
    </row>
    <row r="49" spans="3:4">
      <c r="C49" s="496" t="str">
        <f>'[2]UPGRADES - ASHWOOD RANGE'!$B$41</f>
        <v>Extend tiles to 2.1m high on vanity wall</v>
      </c>
      <c r="D49" s="362">
        <f>'[2]UPGRADES - ASHWOOD RANGE'!$L$41</f>
        <v>500</v>
      </c>
    </row>
    <row r="50" spans="3:4">
      <c r="C50" s="496" t="str">
        <f>'[2]UPGRADES - ASHWOOD RANGE'!$B$42</f>
        <v>Extend tiles to 2.1m high on remaining three walls</v>
      </c>
      <c r="D50" s="362">
        <f>'[2]UPGRADES - ASHWOOD RANGE'!$L$42</f>
        <v>1800</v>
      </c>
    </row>
    <row r="52" spans="3:4">
      <c r="C52" s="18" t="s">
        <v>1118</v>
      </c>
    </row>
    <row r="53" spans="3:4">
      <c r="C53" s="496" t="str">
        <f>'[2]UPGRADES - ASHWOOD RANGE'!$B$44</f>
        <v>1200mm Laminate benchtop &amp; cupboards</v>
      </c>
      <c r="D53" s="362">
        <f>'[2]UPGRADES - ASHWOOD RANGE'!$L$44</f>
        <v>1680</v>
      </c>
    </row>
    <row r="54" spans="3:4">
      <c r="C54" s="496" t="str">
        <f>'[2]UPGRADES - ASHWOOD RANGE'!$B$45</f>
        <v>Extend laminate benchtop only by 900mm with powerpoint</v>
      </c>
      <c r="D54" s="362">
        <f>'[2]UPGRADES - ASHWOOD RANGE'!$L$45</f>
        <v>580</v>
      </c>
    </row>
    <row r="55" spans="3:4">
      <c r="C55" s="496" t="str">
        <f>'[2]UPGRADES - ASHWOOD RANGE'!$B$46</f>
        <v>1200mm Overhead cupboards</v>
      </c>
      <c r="D55" s="362">
        <f>'[2]UPGRADES - ASHWOOD RANGE'!$L$46</f>
        <v>1040</v>
      </c>
    </row>
    <row r="56" spans="3:4">
      <c r="C56" s="496" t="str">
        <f>'[2]UPGRADES - ASHWOOD RANGE'!$B$47</f>
        <v>900mm Overhead cupboards</v>
      </c>
      <c r="D56" s="362">
        <f>'[2]UPGRADES - ASHWOOD RANGE'!$L$47</f>
        <v>765</v>
      </c>
    </row>
    <row r="57" spans="3:4">
      <c r="C57" s="496" t="str">
        <f>'[2]UPGRADES - ASHWOOD RANGE'!$B$48</f>
        <v>Hanging rail under overheads</v>
      </c>
      <c r="D57" s="362">
        <f>'[2]UPGRADES - ASHWOOD RANGE'!$L$48</f>
        <v>300</v>
      </c>
    </row>
    <row r="58" spans="3:4">
      <c r="C58" s="496" t="str">
        <f>'[2]UPGRADES - ASHWOOD RANGE'!$B$49</f>
        <v>Pullout laundry basket with drawer</v>
      </c>
      <c r="D58" s="362">
        <f>'[2]UPGRADES - ASHWOOD RANGE'!$L$49</f>
        <v>235</v>
      </c>
    </row>
    <row r="60" spans="3:4">
      <c r="C60" s="18" t="s">
        <v>1214</v>
      </c>
    </row>
    <row r="61" spans="3:4">
      <c r="C61" s="496" t="str">
        <f>'[2]UPGRADES - ASHWOOD RANGE'!$B$51</f>
        <v>Eaves to whole home</v>
      </c>
      <c r="D61" s="497">
        <f>'[2]UPGRADES - ASHWOOD RANGE'!$L$51</f>
        <v>4210</v>
      </c>
    </row>
    <row r="62" spans="3:4">
      <c r="C62" s="496" t="str">
        <f>'[2]UPGRADES - ASHWOOD RANGE'!$B$52</f>
        <v>Add 2100h x 2400w roller door - (2550mm Cielings Required)</v>
      </c>
      <c r="D62" s="362">
        <f>'[2]UPGRADES - ASHWOOD RANGE'!$L$52</f>
        <v>1670</v>
      </c>
    </row>
    <row r="63" spans="3:4">
      <c r="C63" s="496" t="str">
        <f>'[2]UPGRADES - ASHWOOD RANGE'!$B$53</f>
        <v>2550mm ceiling</v>
      </c>
      <c r="D63" s="497">
        <f>'[2]UPGRADES - ASHWOOD RANGE'!$L$53</f>
        <v>3700</v>
      </c>
    </row>
    <row r="65" spans="3:6">
      <c r="C65" s="18" t="s">
        <v>1119</v>
      </c>
    </row>
    <row r="66" spans="3:6">
      <c r="C66" s="18" t="s">
        <v>1120</v>
      </c>
    </row>
    <row r="67" spans="3:6">
      <c r="C67" s="496" t="str">
        <f>'[2]UPGRADES - ASHWOOD RANGE'!$B$56</f>
        <v>Double glazing to whole home (please note: all windows will be awning)</v>
      </c>
      <c r="D67" s="497">
        <f>'[2]UPGRADES - ASHWOOD RANGE'!$L$56</f>
        <v>4200</v>
      </c>
    </row>
    <row r="68" spans="3:6">
      <c r="C68" s="496" t="str">
        <f>'[2]UPGRADES - ASHWOOD RANGE'!$B$57</f>
        <v>Sliding door in lieu of swing</v>
      </c>
      <c r="D68" s="362">
        <f>'[2]UPGRADES - ASHWOOD RANGE'!$L$57</f>
        <v>200</v>
      </c>
    </row>
    <row r="69" spans="3:6">
      <c r="C69" s="496" t="str">
        <f>'[2]UPGRADES - ASHWOOD RANGE'!$B$58</f>
        <v>Wall mounted clothesline</v>
      </c>
      <c r="D69" s="362">
        <f>'[2]UPGRADES - ASHWOOD RANGE'!$L$58</f>
        <v>400</v>
      </c>
    </row>
    <row r="70" spans="3:6">
      <c r="C70" s="496" t="str">
        <f>'[2]UPGRADES - ASHWOOD RANGE'!$B$59</f>
        <v>Letterbox</v>
      </c>
      <c r="D70" s="362">
        <f>'[2]UPGRADES - ASHWOOD RANGE'!$L$59</f>
        <v>350</v>
      </c>
    </row>
    <row r="71" spans="3:6">
      <c r="C71" s="496" t="str">
        <f>'[2]UPGRADES - ASHWOOD RANGE'!$B$60</f>
        <v>Newington front door</v>
      </c>
      <c r="D71" s="362">
        <f>'[2]UPGRADES - ASHWOOD RANGE'!$L$60</f>
        <v>300</v>
      </c>
    </row>
    <row r="72" spans="3:6">
      <c r="C72" s="496" t="str">
        <f>'[2]UPGRADES - ASHWOOD RANGE'!$B$61</f>
        <v>Nexion front door handle</v>
      </c>
      <c r="D72" s="362">
        <f>'[2]UPGRADES - ASHWOOD RANGE'!$L$61</f>
        <v>175</v>
      </c>
    </row>
    <row r="73" spans="3:6">
      <c r="C73" s="496" t="str">
        <f>'[2]UPGRADES - ASHWOOD RANGE'!$B$62</f>
        <v>Brick Upgrade</v>
      </c>
      <c r="D73" s="362">
        <f>'[2]UPGRADES - ASHWOOD RANGE'!$L$62</f>
        <v>720</v>
      </c>
    </row>
    <row r="75" spans="3:6">
      <c r="C75" s="18" t="s">
        <v>1121</v>
      </c>
    </row>
    <row r="76" spans="3:6">
      <c r="C76" s="496" t="str">
        <f>'[2]UPGRADES - ASHWOOD RANGE'!$B$64</f>
        <v>Internal door pack - WIR &amp; rear hallway</v>
      </c>
      <c r="D76" s="362">
        <f>'[2]UPGRADES - ASHWOOD RANGE'!$L$64</f>
        <v>440</v>
      </c>
    </row>
    <row r="77" spans="3:6">
      <c r="C77" s="496" t="str">
        <f>'[2]UPGRADES - ASHWOOD RANGE'!$B$65</f>
        <v>2340mm high internal doors &amp; robe/linen doors - (2550mm Cielings Required)</v>
      </c>
      <c r="D77" s="497">
        <f>'[2]UPGRADES - ASHWOOD RANGE'!$L$65</f>
        <v>1300</v>
      </c>
      <c r="F77" t="s">
        <v>1122</v>
      </c>
    </row>
    <row r="78" spans="3:6">
      <c r="C78" s="496" t="str">
        <f>'[2]UPGRADES - ASHWOOD RANGE'!$B$66</f>
        <v>Single roller blinds</v>
      </c>
      <c r="D78" s="497">
        <f>'[2]UPGRADES - ASHWOOD RANGE'!$L$66</f>
        <v>2500</v>
      </c>
    </row>
    <row r="80" spans="3:6">
      <c r="C80" s="18" t="s">
        <v>509</v>
      </c>
    </row>
    <row r="81" spans="3:4">
      <c r="C81" s="233" t="s">
        <v>1153</v>
      </c>
      <c r="D81" s="362">
        <f>'[2]UPGRADES - ASHWOOD RANGE'!$L$68</f>
        <v>50</v>
      </c>
    </row>
    <row r="82" spans="3:4">
      <c r="C82" s="233" t="s">
        <v>1154</v>
      </c>
      <c r="D82" s="362">
        <f>'[2]UPGRADES - ASHWOOD RANGE'!$L$68*2</f>
        <v>100</v>
      </c>
    </row>
    <row r="83" spans="3:4">
      <c r="C83" s="233" t="s">
        <v>1155</v>
      </c>
      <c r="D83" s="362">
        <f>'[2]UPGRADES - ASHWOOD RANGE'!$L$68*3</f>
        <v>150</v>
      </c>
    </row>
    <row r="84" spans="3:4">
      <c r="C84" s="233" t="s">
        <v>1156</v>
      </c>
      <c r="D84" s="362">
        <f>'[2]UPGRADES - ASHWOOD RANGE'!$L$68*2</f>
        <v>100</v>
      </c>
    </row>
    <row r="85" spans="3:4">
      <c r="C85" s="233" t="s">
        <v>1157</v>
      </c>
      <c r="D85" s="362">
        <f>'[2]UPGRADES - ASHWOOD RANGE'!$L$68*4</f>
        <v>200</v>
      </c>
    </row>
    <row r="86" spans="3:4">
      <c r="C86" s="233" t="s">
        <v>1158</v>
      </c>
      <c r="D86" s="362">
        <f>'[2]UPGRADES - ASHWOOD RANGE'!$L$68*6</f>
        <v>300</v>
      </c>
    </row>
    <row r="87" spans="3:4">
      <c r="C87" s="233" t="s">
        <v>1159</v>
      </c>
      <c r="D87" s="362">
        <f>'[2]UPGRADES - ASHWOOD RANGE'!$L$69</f>
        <v>185</v>
      </c>
    </row>
    <row r="88" spans="3:4">
      <c r="C88" s="233" t="s">
        <v>1160</v>
      </c>
      <c r="D88" s="362">
        <f>'[2]UPGRADES - ASHWOOD RANGE'!$L$69*2</f>
        <v>370</v>
      </c>
    </row>
    <row r="89" spans="3:4">
      <c r="C89" s="233" t="s">
        <v>1161</v>
      </c>
      <c r="D89" s="362">
        <f>'[2]UPGRADES - ASHWOOD RANGE'!$L$69*3</f>
        <v>555</v>
      </c>
    </row>
    <row r="90" spans="3:4">
      <c r="C90" s="233" t="s">
        <v>1162</v>
      </c>
      <c r="D90" s="362">
        <f>'[2]UPGRADES - ASHWOOD RANGE'!$L$69*4</f>
        <v>740</v>
      </c>
    </row>
    <row r="91" spans="3:4">
      <c r="C91" s="233" t="s">
        <v>1163</v>
      </c>
      <c r="D91" s="362">
        <f>'[2]UPGRADES - ASHWOOD RANGE'!$L$69*5</f>
        <v>925</v>
      </c>
    </row>
    <row r="92" spans="3:4">
      <c r="C92" s="233" t="s">
        <v>1164</v>
      </c>
      <c r="D92" s="362">
        <f>'[2]UPGRADES - ASHWOOD RANGE'!$L$69*6</f>
        <v>1110</v>
      </c>
    </row>
    <row r="93" spans="3:4">
      <c r="C93" s="233" t="s">
        <v>1165</v>
      </c>
      <c r="D93" s="362">
        <f>'[2]UPGRADES - ASHWOOD RANGE'!$L$70</f>
        <v>510</v>
      </c>
    </row>
    <row r="94" spans="3:4">
      <c r="C94" s="233" t="s">
        <v>1166</v>
      </c>
      <c r="D94" s="362">
        <f>'[2]UPGRADES - ASHWOOD RANGE'!$L$70*2</f>
        <v>1020</v>
      </c>
    </row>
    <row r="95" spans="3:4">
      <c r="C95" s="233" t="s">
        <v>1167</v>
      </c>
      <c r="D95" s="362">
        <f>'[2]UPGRADES - ASHWOOD RANGE'!$L$70*3</f>
        <v>1530</v>
      </c>
    </row>
    <row r="96" spans="3:4">
      <c r="C96" s="233" t="s">
        <v>1168</v>
      </c>
      <c r="D96" s="362">
        <f>'[2]UPGRADES - ASHWOOD RANGE'!$L$70*4</f>
        <v>2040</v>
      </c>
    </row>
    <row r="97" spans="3:4">
      <c r="C97" s="233" t="s">
        <v>1169</v>
      </c>
      <c r="D97" s="362">
        <f>'[2]UPGRADES - ASHWOOD RANGE'!$L$70*5</f>
        <v>2550</v>
      </c>
    </row>
    <row r="98" spans="3:4">
      <c r="C98" s="233" t="s">
        <v>1170</v>
      </c>
      <c r="D98" s="362">
        <f>'[2]UPGRADES - ASHWOOD RANGE'!$L$70*6</f>
        <v>3060</v>
      </c>
    </row>
    <row r="100" spans="3:4">
      <c r="C100" s="18" t="s">
        <v>1123</v>
      </c>
    </row>
    <row r="101" spans="3:4">
      <c r="C101" s="496" t="str">
        <f>'[2]UPGRADES - ASHWOOD RANGE'!$B$72</f>
        <v>600mm stainless steel oven &amp; canopy rangehood and electric cooktop</v>
      </c>
      <c r="D101" s="362">
        <f>'[2]UPGRADES - ASHWOOD RANGE'!$L$72</f>
        <v>365</v>
      </c>
    </row>
    <row r="102" spans="3:4">
      <c r="C102" s="496" t="str">
        <f>'[2]UPGRADES - ASHWOOD RANGE'!$B$73</f>
        <v>900mm black inbuilt oven, cooktop &amp; canopy rangehood</v>
      </c>
      <c r="D102" s="362">
        <f>'[2]UPGRADES - ASHWOOD RANGE'!$L$73</f>
        <v>1870</v>
      </c>
    </row>
    <row r="103" spans="3:4">
      <c r="C103" s="496" t="str">
        <f>'[2]UPGRADES - ASHWOOD RANGE'!$B$74</f>
        <v>900mm stainless steel inbuilt oven, cooktop &amp; canopy rangehood</v>
      </c>
      <c r="D103" s="362">
        <f>'[2]UPGRADES - ASHWOOD RANGE'!$L$74</f>
        <v>1860</v>
      </c>
    </row>
    <row r="104" spans="3:4">
      <c r="C104" s="496" t="str">
        <f>'[2]UPGRADES - ASHWOOD RANGE'!$B$75</f>
        <v>900mm black undermount rangehood in lieu of canopy</v>
      </c>
      <c r="D104" s="362">
        <f>'[2]UPGRADES - ASHWOOD RANGE'!$L$75</f>
        <v>800</v>
      </c>
    </row>
    <row r="105" spans="3:4">
      <c r="C105" s="496" t="str">
        <f>'[2]UPGRADES - ASHWOOD RANGE'!$B$76</f>
        <v>900mm stainless steel undermount rangehood in lieu of canopy</v>
      </c>
      <c r="D105" s="362">
        <f>'[2]UPGRADES - ASHWOOD RANGE'!$L$76</f>
        <v>770</v>
      </c>
    </row>
    <row r="106" spans="3:4">
      <c r="C106" s="496" t="str">
        <f>'[2]UPGRADES - ASHWOOD RANGE'!$B$77</f>
        <v>Stainless steel dishwasher</v>
      </c>
      <c r="D106" s="362">
        <f>'[2]UPGRADES - ASHWOOD RANGE'!$L$77</f>
        <v>700</v>
      </c>
    </row>
    <row r="107" spans="3:4">
      <c r="C107" s="496" t="str">
        <f>'[2]UPGRADES - ASHWOOD RANGE'!$B$78</f>
        <v>Black dishwasher</v>
      </c>
      <c r="D107" s="362">
        <f>'[2]UPGRADES - ASHWOOD RANGE'!$L$78</f>
        <v>750</v>
      </c>
    </row>
    <row r="108" spans="3:4">
      <c r="C108" s="496" t="str">
        <f>'[2]UPGRADES - ASHWOOD RANGE'!$B$79</f>
        <v>Cold water point for fridge</v>
      </c>
      <c r="D108" s="362">
        <f>'[2]UPGRADES - ASHWOOD RANGE'!$L$79</f>
        <v>200</v>
      </c>
    </row>
    <row r="109" spans="3:4">
      <c r="C109" s="233" t="s">
        <v>1183</v>
      </c>
      <c r="D109" s="362">
        <f>'[2]UPGRADES - ASHWOOD RANGE'!$L$80</f>
        <v>350</v>
      </c>
    </row>
    <row r="110" spans="3:4">
      <c r="C110" s="233" t="s">
        <v>1184</v>
      </c>
      <c r="D110" s="362">
        <f>'[2]UPGRADES - ASHWOOD RANGE'!$L$80*2</f>
        <v>700</v>
      </c>
    </row>
    <row r="111" spans="3:4">
      <c r="C111" s="233" t="s">
        <v>1185</v>
      </c>
      <c r="D111" s="362">
        <f>'[2]UPGRADES - ASHWOOD RANGE'!$L$80*3</f>
        <v>1050</v>
      </c>
    </row>
    <row r="112" spans="3:4">
      <c r="C112" s="233" t="s">
        <v>1186</v>
      </c>
      <c r="D112" s="362">
        <f>'[2]UPGRADES - ASHWOOD RANGE'!$L$80*4</f>
        <v>1400</v>
      </c>
    </row>
    <row r="113" spans="3:4">
      <c r="C113" s="233" t="s">
        <v>1187</v>
      </c>
      <c r="D113" s="362">
        <f>'[2]UPGRADES - ASHWOOD RANGE'!$L$80*5</f>
        <v>1750</v>
      </c>
    </row>
    <row r="114" spans="3:4">
      <c r="C114" s="496" t="str">
        <f>'[2]UPGRADES - ASHWOOD RANGE'!$B$81</f>
        <v xml:space="preserve">20mm Stone benchtops- Standard </v>
      </c>
      <c r="D114" s="362">
        <f>'[2]UPGRADES - ASHWOOD RANGE'!$L$81</f>
        <v>3230</v>
      </c>
    </row>
    <row r="115" spans="3:4">
      <c r="C115" s="496" t="str">
        <f>'[2]UPGRADES - ASHWOOD RANGE'!$B$82</f>
        <v>20mm Stone benchtops - The Entertainers Kitchen</v>
      </c>
      <c r="D115" s="362">
        <f>'[2]UPGRADES - ASHWOOD RANGE'!$L$82</f>
        <v>3530</v>
      </c>
    </row>
    <row r="116" spans="3:4">
      <c r="C116" s="496" t="str">
        <f>'[2]UPGRADES - ASHWOOD RANGE'!$B$83</f>
        <v>20mm Stone benchtops - The Modern Chefs Kitchen</v>
      </c>
      <c r="D116" s="362">
        <f>'[2]UPGRADES - ASHWOOD RANGE'!$L$83</f>
        <v>3850</v>
      </c>
    </row>
    <row r="117" spans="3:4">
      <c r="C117" s="496" t="str">
        <f>'[2]UPGRADES - ASHWOOD RANGE'!$B$84</f>
        <v>20mm Stone waterfall ends</v>
      </c>
      <c r="D117" s="362">
        <f>'[2]UPGRADES - ASHWOOD RANGE'!$L$84</f>
        <v>1480</v>
      </c>
    </row>
    <row r="118" spans="3:4">
      <c r="C118" s="496" t="str">
        <f>'[2]UPGRADES - ASHWOOD RANGE'!$B$85</f>
        <v xml:space="preserve">40mm Stone benchtops- Standard </v>
      </c>
      <c r="D118" s="362">
        <f>'[2]UPGRADES - ASHWOOD RANGE'!$L$85</f>
        <v>4130</v>
      </c>
    </row>
    <row r="119" spans="3:4">
      <c r="C119" s="496" t="str">
        <f>'[2]UPGRADES - ASHWOOD RANGE'!$B$86</f>
        <v>40mm Stone benchtops- The Entertainers Kitchen</v>
      </c>
      <c r="D119" s="362">
        <f>'[2]UPGRADES - ASHWOOD RANGE'!$L$86</f>
        <v>4520</v>
      </c>
    </row>
    <row r="120" spans="3:4">
      <c r="C120" s="496" t="str">
        <f>'[2]UPGRADES - ASHWOOD RANGE'!$B$87</f>
        <v>40mm Stone benchtops - The Modern Chefs Kitchen</v>
      </c>
      <c r="D120" s="362">
        <f>'[2]UPGRADES - ASHWOOD RANGE'!$L$87</f>
        <v>4980</v>
      </c>
    </row>
    <row r="121" spans="3:4">
      <c r="C121" s="496" t="str">
        <f>'[2]UPGRADES - ASHWOOD RANGE'!$B$88</f>
        <v>40mm Stone waterfall ends</v>
      </c>
      <c r="D121" s="362">
        <f>'[2]UPGRADES - ASHWOOD RANGE'!$L$88</f>
        <v>1720</v>
      </c>
    </row>
    <row r="122" spans="3:4">
      <c r="C122" s="496" t="str">
        <f>'[2]UPGRADES - ASHWOOD RANGE'!$B$89</f>
        <v>Double bowl sink</v>
      </c>
      <c r="D122" s="362">
        <f>'[2]UPGRADES - ASHWOOD RANGE'!$L$89</f>
        <v>350</v>
      </c>
    </row>
    <row r="123" spans="3:4">
      <c r="C123" s="496" t="str">
        <f>'[2]UPGRADES - ASHWOOD RANGE'!$B$90</f>
        <v>Upgrade vegie kitchen mixer in chrome</v>
      </c>
      <c r="D123" s="362">
        <f>'[2]UPGRADES - ASHWOOD RANGE'!$L$90</f>
        <v>120</v>
      </c>
    </row>
    <row r="124" spans="3:4">
      <c r="C124" s="496" t="str">
        <f>'[2]UPGRADES - ASHWOOD RANGE'!$B$91</f>
        <v>Upgrade vegie kitchen mixer in black</v>
      </c>
      <c r="D124" s="362">
        <f>'[2]UPGRADES - ASHWOOD RANGE'!$L$91</f>
        <v>130</v>
      </c>
    </row>
    <row r="125" spans="3:4">
      <c r="C125" s="496" t="str">
        <f>'[2]UPGRADES - ASHWOOD RANGE'!$B$92</f>
        <v>Upgrade cabinetry handles</v>
      </c>
      <c r="D125" s="362">
        <f>'[2]UPGRADES - ASHWOOD RANGE'!$L$92</f>
        <v>120</v>
      </c>
    </row>
    <row r="127" spans="3:4">
      <c r="C127" s="18" t="s">
        <v>1117</v>
      </c>
    </row>
    <row r="128" spans="3:4">
      <c r="C128" s="496" t="str">
        <f>'[2]UPGRADES - ASHWOOD RANGE'!$B$94</f>
        <v>20mm Stone benchtops</v>
      </c>
      <c r="D128" s="362">
        <f>'[2]UPGRADES - ASHWOOD RANGE'!$L$94</f>
        <v>900</v>
      </c>
    </row>
    <row r="129" spans="3:4">
      <c r="C129" s="496" t="str">
        <f>'[2]UPGRADES - ASHWOOD RANGE'!$B$95</f>
        <v>Dual shower heads</v>
      </c>
      <c r="D129" s="362">
        <f>'[2]UPGRADES - ASHWOOD RANGE'!$L$95</f>
        <v>440</v>
      </c>
    </row>
    <row r="130" spans="3:4">
      <c r="C130" s="496" t="str">
        <f>'[2]UPGRADES - ASHWOOD RANGE'!$B$96</f>
        <v>Additional towel rails</v>
      </c>
      <c r="D130" s="362">
        <f>'[2]UPGRADES - ASHWOOD RANGE'!$L$96</f>
        <v>160</v>
      </c>
    </row>
    <row r="131" spans="3:4">
      <c r="C131" s="496" t="str">
        <f>'[2]UPGRADES - ASHWOOD RANGE'!$B$97</f>
        <v>Upgrade tapware and accessories to Winton in chrome</v>
      </c>
      <c r="D131" s="362">
        <f>'[2]UPGRADES - ASHWOOD RANGE'!$L$97</f>
        <v>630</v>
      </c>
    </row>
    <row r="132" spans="3:4">
      <c r="C132" s="496" t="str">
        <f>'[2]UPGRADES - ASHWOOD RANGE'!$B$98</f>
        <v>Upgrade tapware and accessories to Winton in black</v>
      </c>
      <c r="D132" s="362">
        <f>'[2]UPGRADES - ASHWOOD RANGE'!$L$98</f>
        <v>700</v>
      </c>
    </row>
    <row r="133" spans="3:4">
      <c r="C133" s="496" t="str">
        <f>'[2]UPGRADES - ASHWOOD RANGE'!$B$99</f>
        <v>Upgrade vanity basins</v>
      </c>
      <c r="D133" s="362">
        <f>'[2]UPGRADES - ASHWOOD RANGE'!$L$99</f>
        <v>300</v>
      </c>
    </row>
    <row r="134" spans="3:4">
      <c r="C134" s="496" t="str">
        <f>'[2]UPGRADES - ASHWOOD RANGE'!$B$100</f>
        <v>Upgrade cabinetry handles including laundry</v>
      </c>
      <c r="D134" s="362">
        <f>'[2]UPGRADES - ASHWOOD RANGE'!$L$100</f>
        <v>105</v>
      </c>
    </row>
    <row r="136" spans="3:4">
      <c r="C136" s="18" t="s">
        <v>506</v>
      </c>
    </row>
    <row r="137" spans="3:4">
      <c r="C137" s="496" t="str">
        <f>'[2]UPGRADES - ASHWOOD RANGE'!$B$105</f>
        <v>Downlight Pack 1: Entry &amp; Family room</v>
      </c>
      <c r="D137" s="497">
        <f>'[2]UPGRADES - ASHWOOD RANGE'!$L$105</f>
        <v>1125</v>
      </c>
    </row>
    <row r="138" spans="3:4">
      <c r="C138" s="496" t="str">
        <f>'[2]UPGRADES - ASHWOOD RANGE'!$B$106</f>
        <v>Downlight Pack 2: Whole home</v>
      </c>
      <c r="D138" s="497">
        <f>'[2]UPGRADES - ASHWOOD RANGE'!$L$106</f>
        <v>1755</v>
      </c>
    </row>
    <row r="139" spans="3:4">
      <c r="C139" s="496" t="str">
        <f>'[2]UPGRADES - ASHWOOD RANGE'!$B$107</f>
        <v>External Pack 1: Downlights to porch &amp; front eave</v>
      </c>
      <c r="D139" s="362">
        <f>'[2]UPGRADES - ASHWOOD RANGE'!$L$107</f>
        <v>160</v>
      </c>
    </row>
    <row r="140" spans="3:4">
      <c r="C140" s="496" t="str">
        <f>'[2]UPGRADES - ASHWOOD RANGE'!$B$108</f>
        <v>External Pack 2: 2 x Up/down lights, 2 downlights to outdoor living &amp; 2 floodlights</v>
      </c>
      <c r="D140" s="362">
        <f>'[2]UPGRADES - ASHWOOD RANGE'!$L$108</f>
        <v>1070</v>
      </c>
    </row>
    <row r="141" spans="3:4">
      <c r="C141" s="496" t="str">
        <f>'[2]UPGRADES - ASHWOOD RANGE'!$B$109</f>
        <v>Pendant Pack: 3 Pendants to island bench</v>
      </c>
      <c r="D141" s="362">
        <f>'[2]UPGRADES - ASHWOOD RANGE'!$L$109</f>
        <v>1160</v>
      </c>
    </row>
    <row r="142" spans="3:4">
      <c r="C142" s="496" t="str">
        <f>'[2]UPGRADES - ASHWOOD RANGE'!$B$110</f>
        <v>Fan Pack 1: Ceiling fans to all bedrooms</v>
      </c>
      <c r="D142" s="497">
        <f>'[2]UPGRADES - ASHWOOD RANGE'!$L$110</f>
        <v>2300</v>
      </c>
    </row>
    <row r="143" spans="3:4">
      <c r="C143" s="496" t="str">
        <f>'[2]UPGRADES - ASHWOOD RANGE'!$B$111</f>
        <v>Fan Pack 2: Ceiling fans to living areas</v>
      </c>
      <c r="D143" s="362">
        <f>'[2]UPGRADES - ASHWOOD RANGE'!$L$111</f>
        <v>930</v>
      </c>
    </row>
    <row r="144" spans="3:4">
      <c r="C144" s="496" t="str">
        <f>'[2]UPGRADES - ASHWOOD RANGE'!$B$112</f>
        <v>Fan Pack 3: Ceiling fan to outdoor living</v>
      </c>
      <c r="D144" s="362">
        <f>'[2]UPGRADES - ASHWOOD RANGE'!$L$112</f>
        <v>470</v>
      </c>
    </row>
    <row r="145" spans="3:4">
      <c r="C145" s="496" t="str">
        <f>'[2]UPGRADES - ASHWOOD RANGE'!$B$113</f>
        <v>TV antenna</v>
      </c>
      <c r="D145" s="362">
        <f>'[2]UPGRADES - ASHWOOD RANGE'!$L$113</f>
        <v>590</v>
      </c>
    </row>
    <row r="146" spans="3:4">
      <c r="C146" s="496" t="str">
        <f>'[2]UPGRADES - ASHWOOD RANGE'!$B$114</f>
        <v>TV Pack: 2 x TV points &amp; 2 x double powerpoints</v>
      </c>
      <c r="D146" s="362">
        <f>'[2]UPGRADES - ASHWOOD RANGE'!$L$114</f>
        <v>340</v>
      </c>
    </row>
    <row r="147" spans="3:4">
      <c r="C147" s="496" t="str">
        <f>'[2]UPGRADES - ASHWOOD RANGE'!$B$115</f>
        <v>Powerpoint Pack 1: 5 x Double powerpoints</v>
      </c>
      <c r="D147" s="362">
        <f>'[2]UPGRADES - ASHWOOD RANGE'!$L$115</f>
        <v>430</v>
      </c>
    </row>
    <row r="148" spans="3:4">
      <c r="C148" s="496" t="str">
        <f>'[2]UPGRADES - ASHWOOD RANGE'!$B$116</f>
        <v>Powerpoint Pack 2: 10 x Double powerpoints</v>
      </c>
      <c r="D148" s="362">
        <f>'[2]UPGRADES - ASHWOOD RANGE'!$L$116</f>
        <v>850</v>
      </c>
    </row>
    <row r="150" spans="3:4">
      <c r="C150" s="18" t="s">
        <v>1124</v>
      </c>
    </row>
    <row r="151" spans="3:4">
      <c r="C151" s="496" t="str">
        <f>'[2]UPGRADES - ASHWOOD RANGE'!$B$102</f>
        <v>1 x Additional split system - (3.5kw)</v>
      </c>
      <c r="D151" s="362">
        <f>'[2]UPGRADES - ASHWOOD RANGE'!$L$102</f>
        <v>3200</v>
      </c>
    </row>
    <row r="152" spans="3:4">
      <c r="C152" s="233" t="s">
        <v>1188</v>
      </c>
      <c r="D152" s="362">
        <f>'[2]UPGRADES - ASHWOOD RANGE'!$L$102*2</f>
        <v>6400</v>
      </c>
    </row>
    <row r="153" spans="3:4">
      <c r="C153" s="233" t="s">
        <v>1189</v>
      </c>
      <c r="D153" s="362">
        <f>'[2]UPGRADES - ASHWOOD RANGE'!$L$102*3</f>
        <v>9600</v>
      </c>
    </row>
    <row r="154" spans="3:4">
      <c r="C154" s="233" t="s">
        <v>1190</v>
      </c>
      <c r="D154" s="362">
        <f>'[2]UPGRADES - ASHWOOD RANGE'!$L$102*4</f>
        <v>12800</v>
      </c>
    </row>
    <row r="155" spans="3:4">
      <c r="C155" s="496" t="str">
        <f>'[2]UPGRADES - ASHWOOD RANGE'!$B$103</f>
        <v>Upgrade to reverse cycle ducted system</v>
      </c>
      <c r="D155" s="497">
        <f>'[2]UPGRADES - ASHWOOD RANGE'!$L$103</f>
        <v>11200</v>
      </c>
    </row>
    <row r="156" spans="3:4" ht="13.95" customHeight="1"/>
    <row r="157" spans="3:4">
      <c r="C157" s="18" t="s">
        <v>1125</v>
      </c>
    </row>
    <row r="158" spans="3:4">
      <c r="C158" s="496" t="str">
        <f>'[2]UPGRADES - ASHWOOD RANGE'!$B$118</f>
        <v>Upgrade carpet</v>
      </c>
      <c r="D158" s="362">
        <f>'[2]UPGRADES - ASHWOOD RANGE'!$L$118</f>
        <v>450</v>
      </c>
    </row>
    <row r="159" spans="3:4">
      <c r="C159" s="496" t="str">
        <f>'[2]UPGRADES - ASHWOOD RANGE'!$B$119</f>
        <v>Upgrade tiles to wet area floor &amp; walls</v>
      </c>
      <c r="D159" s="362">
        <f>'[2]UPGRADES - ASHWOOD RANGE'!$L$119</f>
        <v>600</v>
      </c>
    </row>
    <row r="160" spans="3:4">
      <c r="C160" s="496" t="str">
        <f>'[2]UPGRADES - ASHWOOD RANGE'!$B$120</f>
        <v>Upgrade tiles to main area floors</v>
      </c>
      <c r="D160" s="362">
        <f>'[2]UPGRADES - ASHWOOD RANGE'!$L$120</f>
        <v>1500</v>
      </c>
    </row>
    <row r="161" spans="3:6">
      <c r="C161" s="496" t="str">
        <f>'[2]UPGRADES - ASHWOOD RANGE'!$B$121</f>
        <v>Upgrade tiles to kitchen &amp; laundry splashback</v>
      </c>
      <c r="D161" s="362">
        <f>'[2]UPGRADES - ASHWOOD RANGE'!$L$121</f>
        <v>300</v>
      </c>
      <c r="F161" t="s">
        <v>1126</v>
      </c>
    </row>
    <row r="162" spans="3:6">
      <c r="C162" s="496" t="str">
        <f>'[2]UPGRADES - ASHWOOD RANGE'!$B$122</f>
        <v>Upgrade to vinyl</v>
      </c>
      <c r="D162" s="497">
        <f>'[2]UPGRADES - ASHWOOD RANGE'!$L$122</f>
        <v>4200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CCA0-5EAD-44C2-AD95-DB1BD2D564E6}">
  <dimension ref="C3:F164"/>
  <sheetViews>
    <sheetView topLeftCell="A136" workbookViewId="0">
      <selection activeCell="J66" sqref="J66"/>
    </sheetView>
  </sheetViews>
  <sheetFormatPr defaultRowHeight="14.4"/>
  <cols>
    <col min="3" max="3" width="63.88671875" customWidth="1"/>
    <col min="4" max="4" width="11.33203125" style="361" bestFit="1" customWidth="1"/>
  </cols>
  <sheetData>
    <row r="3" spans="3:4">
      <c r="C3" s="18" t="s">
        <v>1112</v>
      </c>
    </row>
    <row r="4" spans="3:4">
      <c r="C4" s="496" t="str">
        <f>'[2]UPGRADES - BYRON RANGE'!$B$6</f>
        <v>Extend garage by 500mm</v>
      </c>
      <c r="D4" s="362">
        <f>'[2]UPGRADES - BYRON RANGE'!$L$6</f>
        <v>2500</v>
      </c>
    </row>
    <row r="5" spans="3:4">
      <c r="C5" s="496" t="str">
        <f>'[2]UPGRADES - BYRON RANGE'!$B$7</f>
        <v>Extend garage by 1000mm</v>
      </c>
      <c r="D5" s="362">
        <f>'[2]UPGRADES - BYRON RANGE'!$L$7</f>
        <v>5000</v>
      </c>
    </row>
    <row r="6" spans="3:4">
      <c r="C6" s="496" t="str">
        <f>'[2]UPGRADES - BYRON RANGE'!$B$8</f>
        <v>Outdoor Living - addition 1</v>
      </c>
      <c r="D6" s="497">
        <f>'[2]UPGRADES - BYRON RANGE'!$L$8</f>
        <v>4580</v>
      </c>
    </row>
    <row r="7" spans="3:4">
      <c r="C7" s="496" t="str">
        <f>'[2]UPGRADES - BYRON RANGE'!$B$9</f>
        <v>Outdoor Living - brick pier in lieu of steel post</v>
      </c>
      <c r="D7" s="362">
        <f>'[2]UPGRADES - BYRON RANGE'!$L$9</f>
        <v>400</v>
      </c>
    </row>
    <row r="8" spans="3:4">
      <c r="C8" s="496" t="str">
        <f>'[2]UPGRADES - BYRON RANGE'!$B$10</f>
        <v xml:space="preserve">Additional concrete - outdoor living </v>
      </c>
      <c r="D8" s="497">
        <f>'[2]UPGRADES - BYRON RANGE'!$L$10</f>
        <v>1680</v>
      </c>
    </row>
    <row r="9" spans="3:4">
      <c r="C9" s="496" t="str">
        <f>'[2]UPGRADES - BYRON RANGE'!$B$11</f>
        <v>Outdoor Living - addition 2</v>
      </c>
      <c r="D9" s="362">
        <f>'[2]UPGRADES - BYRON RANGE'!$L$11</f>
        <v>7250</v>
      </c>
    </row>
    <row r="10" spans="3:4">
      <c r="C10" s="496" t="str">
        <f>'[2]UPGRADES - BYRON RANGE'!$B$12</f>
        <v>Outdoor Living - brick pier in lieu of steel post</v>
      </c>
      <c r="D10" s="362">
        <f>'[2]UPGRADES - BYRON RANGE'!$L$12</f>
        <v>800</v>
      </c>
    </row>
    <row r="11" spans="3:4">
      <c r="C11" s="496" t="str">
        <f>'[2]UPGRADES - BYRON RANGE'!$B$13</f>
        <v xml:space="preserve">Additional concrete- Outdoor living </v>
      </c>
      <c r="D11" s="362">
        <f>'[2]UPGRADES - BYRON RANGE'!$L$13</f>
        <v>2520</v>
      </c>
    </row>
    <row r="12" spans="3:4">
      <c r="C12" s="496" t="str">
        <f>'[2]UPGRADES - BYRON RANGE'!$B$14</f>
        <v>Kitchen - The Entertainers Kitchen</v>
      </c>
      <c r="D12" s="362">
        <f>'[2]UPGRADES - BYRON RANGE'!$L$14</f>
        <v>900</v>
      </c>
    </row>
    <row r="13" spans="3:4">
      <c r="C13" s="496" t="str">
        <f>'[2]UPGRADES - BYRON RANGE'!$B$15</f>
        <v>Kitchen - The Modern Chef Kitchen</v>
      </c>
      <c r="D13" s="362">
        <f>'[2]UPGRADES - BYRON RANGE'!$L$15</f>
        <v>4100</v>
      </c>
    </row>
    <row r="14" spans="3:4">
      <c r="C14" s="496" t="str">
        <f>'[2]UPGRADES - BYRON RANGE'!$B$16</f>
        <v>Ensuite - The Signature Ensuite</v>
      </c>
      <c r="D14" s="362">
        <f>'[2]UPGRADES - BYRON RANGE'!$L$16</f>
        <v>750</v>
      </c>
    </row>
    <row r="15" spans="3:4">
      <c r="C15" s="496" t="str">
        <f>'[2]UPGRADES - BYRON RANGE'!$B$17</f>
        <v>Ensuite - The Indulgence Ensuite</v>
      </c>
      <c r="D15" s="362">
        <f>'[2]UPGRADES - BYRON RANGE'!$L$17</f>
        <v>3280</v>
      </c>
    </row>
    <row r="17" spans="3:4">
      <c r="C17" s="18" t="s">
        <v>1113</v>
      </c>
    </row>
    <row r="18" spans="3:4">
      <c r="C18" s="233" t="s">
        <v>1114</v>
      </c>
      <c r="D18" s="498" t="s">
        <v>267</v>
      </c>
    </row>
    <row r="19" spans="3:4">
      <c r="C19" s="496" t="str">
        <f>'[2]UPGRADES - BYRON RANGE'!$B$19</f>
        <v>1 The Retreat Façade</v>
      </c>
      <c r="D19" s="362">
        <f>'[2]UPGRADES - BYRON RANGE'!$L$19</f>
        <v>3300</v>
      </c>
    </row>
    <row r="20" spans="3:4">
      <c r="C20" s="496" t="str">
        <f>'[2]UPGRADES - BYRON RANGE'!$B$20</f>
        <v>2 The Rise Façade</v>
      </c>
      <c r="D20" s="362">
        <f>'[2]UPGRADES - BYRON RANGE'!$L$20</f>
        <v>7300</v>
      </c>
    </row>
    <row r="21" spans="3:4">
      <c r="C21" s="496" t="str">
        <f>'[2]UPGRADES - BYRON RANGE'!$B$21</f>
        <v>3 The Escape Façade</v>
      </c>
      <c r="D21" s="362">
        <f>'[2]UPGRADES - BYRON RANGE'!$L$21</f>
        <v>8950</v>
      </c>
    </row>
    <row r="22" spans="3:4">
      <c r="C22" s="496" t="str">
        <f>'[2]UPGRADES - BYRON RANGE'!$B$22</f>
        <v>4 The Essence Façade</v>
      </c>
      <c r="D22" s="362">
        <f>'[2]UPGRADES - BYRON RANGE'!$L$22</f>
        <v>6500</v>
      </c>
    </row>
    <row r="23" spans="3:4">
      <c r="C23" s="496" t="str">
        <f>'[2]UPGRADES - BYRON RANGE'!$B$23</f>
        <v>5 The Sanctuary Façade</v>
      </c>
      <c r="D23" s="362">
        <f>'[2]UPGRADES - BYRON RANGE'!$L$23</f>
        <v>9050</v>
      </c>
    </row>
    <row r="24" spans="3:4">
      <c r="C24" s="496" t="str">
        <f>'[2]UPGRADES - BYRON RANGE'!$B$24</f>
        <v>6. The Summit Façade</v>
      </c>
      <c r="D24" s="362">
        <f>'[2]UPGRADES - BYRON RANGE'!$L$24</f>
        <v>8500</v>
      </c>
    </row>
    <row r="25" spans="3:4">
      <c r="C25" s="496" t="str">
        <f>'[2]UPGRADES - BYRON RANGE'!$B$25</f>
        <v>7. The Haven Facade</v>
      </c>
      <c r="D25" s="362">
        <f>'[2]UPGRADES - BYRON RANGE'!$L$25</f>
        <v>8500</v>
      </c>
    </row>
    <row r="26" spans="3:4">
      <c r="C26" s="496" t="str">
        <f>'[2]UPGRADES - BYRON RANGE'!$B$26</f>
        <v>9. The Horizon Façade</v>
      </c>
      <c r="D26" s="362">
        <f>'[2]UPGRADES - BYRON RANGE'!$L$26</f>
        <v>10500</v>
      </c>
    </row>
    <row r="28" spans="3:4">
      <c r="C28" s="18" t="s">
        <v>1115</v>
      </c>
    </row>
    <row r="29" spans="3:4">
      <c r="C29" s="18" t="s">
        <v>1116</v>
      </c>
    </row>
    <row r="30" spans="3:4">
      <c r="C30" s="496" t="str">
        <f>'[2]UPGRADES - BYRON RANGE'!$B$29</f>
        <v>600mm overhead either side of rangehood</v>
      </c>
      <c r="D30" s="362">
        <f>'[2]UPGRADES - BYRON RANGE'!$L$29</f>
        <v>990</v>
      </c>
    </row>
    <row r="31" spans="3:4">
      <c r="C31" s="496" t="str">
        <f>'[2]UPGRADES - BYRON RANGE'!$B$30</f>
        <v>Overhead cupboards with integrated rangehood</v>
      </c>
      <c r="D31" s="362">
        <f>'[2]UPGRADES - BYRON RANGE'!$L$30</f>
        <v>1650</v>
      </c>
    </row>
    <row r="32" spans="3:4">
      <c r="C32" s="496" t="str">
        <f>'[2]UPGRADES - BYRON RANGE'!$B$31</f>
        <v>Fridge overhead cupboard</v>
      </c>
      <c r="D32" s="362">
        <f>'[2]UPGRADES - BYRON RANGE'!$L$31</f>
        <v>960</v>
      </c>
    </row>
    <row r="33" spans="3:4">
      <c r="C33" s="233" t="s">
        <v>1147</v>
      </c>
      <c r="D33" s="362">
        <f>'[2]UPGRADES - BYRON RANGE'!$L$32</f>
        <v>330</v>
      </c>
    </row>
    <row r="34" spans="3:4">
      <c r="C34" s="233" t="s">
        <v>1148</v>
      </c>
      <c r="D34" s="362">
        <f>'[2]UPGRADES - BYRON RANGE'!$L$32*2</f>
        <v>660</v>
      </c>
    </row>
    <row r="35" spans="3:4">
      <c r="C35" s="233" t="s">
        <v>1149</v>
      </c>
      <c r="D35" s="362">
        <f>'[2]UPGRADES - BYRON RANGE'!$L$32*3</f>
        <v>990</v>
      </c>
    </row>
    <row r="36" spans="3:4">
      <c r="C36" s="233" t="s">
        <v>1150</v>
      </c>
      <c r="D36" s="362">
        <f>'[2]UPGRADES - BYRON RANGE'!$L$32*4</f>
        <v>1320</v>
      </c>
    </row>
    <row r="37" spans="3:4">
      <c r="C37" s="233" t="s">
        <v>1151</v>
      </c>
      <c r="D37" s="362">
        <f>'[2]UPGRADES - BYRON RANGE'!$L$32*5</f>
        <v>1650</v>
      </c>
    </row>
    <row r="38" spans="3:4">
      <c r="C38" s="496" t="str">
        <f>'[2]UPGRADES - BYRON RANGE'!$B$33</f>
        <v>Microwave cavity with drawer below</v>
      </c>
      <c r="D38" s="362">
        <f>'[2]UPGRADES - BYRON RANGE'!$L$33</f>
        <v>415</v>
      </c>
    </row>
    <row r="39" spans="3:4">
      <c r="C39" s="496" t="str">
        <f>'[2]UPGRADES - BYRON RANGE'!$B$34</f>
        <v>Twin bin with drawer below</v>
      </c>
      <c r="D39" s="362">
        <f>'[2]UPGRADES - BYRON RANGE'!$L$34</f>
        <v>250</v>
      </c>
    </row>
    <row r="40" spans="3:4">
      <c r="C40" s="496" t="str">
        <f>'[2]UPGRADES - BYRON RANGE'!$B$35</f>
        <v>1212 No Bottom Reveal Window to Kitchen Upgrade 2</v>
      </c>
      <c r="D40" s="362">
        <f>'[2]UPGRADES - BYRON RANGE'!$L$35</f>
        <v>390</v>
      </c>
    </row>
    <row r="42" spans="3:4">
      <c r="C42" s="18" t="s">
        <v>1117</v>
      </c>
    </row>
    <row r="43" spans="3:4">
      <c r="C43" s="496" t="str">
        <f>'[2]UPGRADES - BYRON RANGE'!$B$37</f>
        <v>Bank of 3 drawers to vanities</v>
      </c>
      <c r="D43" s="362">
        <f>'[2]UPGRADES - BYRON RANGE'!$L$37</f>
        <v>660</v>
      </c>
    </row>
    <row r="44" spans="3:4">
      <c r="C44" s="233" t="s">
        <v>1181</v>
      </c>
      <c r="D44" s="362">
        <f>'[2]UPGRADES - BYRON RANGE'!$L$38*2</f>
        <v>660</v>
      </c>
    </row>
    <row r="45" spans="3:4">
      <c r="C45" s="233" t="s">
        <v>1182</v>
      </c>
      <c r="D45" s="362">
        <f>'[2]UPGRADES - BYRON RANGE'!$L$38*3</f>
        <v>990</v>
      </c>
    </row>
    <row r="46" spans="3:4">
      <c r="C46" s="496" t="s">
        <v>1191</v>
      </c>
      <c r="D46" s="362">
        <f>'[2]UPGRADES - BYRON RANGE'!$L$39/2*2</f>
        <v>280</v>
      </c>
    </row>
    <row r="47" spans="3:4">
      <c r="C47" s="496" t="s">
        <v>1192</v>
      </c>
      <c r="D47" s="362">
        <f>'[2]UPGRADES - BYRON RANGE'!$L$39/2*3</f>
        <v>420</v>
      </c>
    </row>
    <row r="48" spans="3:4">
      <c r="C48" s="496" t="str">
        <f>'[2]UPGRADES - BYRON RANGE'!$B$40</f>
        <v>Tiled recess shelves</v>
      </c>
      <c r="D48" s="362">
        <f>'[2]UPGRADES - BYRON RANGE'!$L$40</f>
        <v>800</v>
      </c>
    </row>
    <row r="49" spans="3:4">
      <c r="C49" s="496" t="str">
        <f>'[2]UPGRADES - BYRON RANGE'!$B$41</f>
        <v>Extend tiles to 2.1m high on vanity wall</v>
      </c>
      <c r="D49" s="362">
        <f>'[2]UPGRADES - BYRON RANGE'!$L$41</f>
        <v>300</v>
      </c>
    </row>
    <row r="50" spans="3:4">
      <c r="C50" s="496" t="str">
        <f>'[2]UPGRADES - BYRON RANGE'!$B$42</f>
        <v>Extend tiles to 2.1m high on remaining three walls</v>
      </c>
      <c r="D50" s="362">
        <f>'[2]UPGRADES - BYRON RANGE'!$L$42</f>
        <v>1700</v>
      </c>
    </row>
    <row r="52" spans="3:4">
      <c r="C52" s="18" t="s">
        <v>1118</v>
      </c>
    </row>
    <row r="53" spans="3:4">
      <c r="C53" s="496" t="str">
        <f>'[2]UPGRADES - BYRON RANGE'!$B$44</f>
        <v>1200mm Laminate benchtop &amp; cupboards</v>
      </c>
      <c r="D53" s="362">
        <f>'[2]UPGRADES - BYRON RANGE'!$L$44</f>
        <v>1680</v>
      </c>
    </row>
    <row r="54" spans="3:4">
      <c r="C54" s="496" t="str">
        <f>'[2]UPGRADES - BYRON RANGE'!$B$45</f>
        <v>Extend laminate benchtop only by 1350mm with powerpoint</v>
      </c>
      <c r="D54" s="362">
        <f>'[2]UPGRADES - BYRON RANGE'!$L$45</f>
        <v>830</v>
      </c>
    </row>
    <row r="55" spans="3:4">
      <c r="C55" s="496" t="str">
        <f>'[2]UPGRADES - BYRON RANGE'!$B$46</f>
        <v>1200mm Overhead cupboards</v>
      </c>
      <c r="D55" s="362">
        <f>'[2]UPGRADES - BYRON RANGE'!$L$46</f>
        <v>1040</v>
      </c>
    </row>
    <row r="56" spans="3:4">
      <c r="C56" s="496" t="str">
        <f>'[2]UPGRADES - BYRON RANGE'!$B$47</f>
        <v>1350mm Overhead cupboards</v>
      </c>
      <c r="D56" s="362">
        <f>'[2]UPGRADES - BYRON RANGE'!$L$47</f>
        <v>1170</v>
      </c>
    </row>
    <row r="57" spans="3:4">
      <c r="C57" s="496" t="str">
        <f>'[2]UPGRADES - BYRON RANGE'!$B$48</f>
        <v>Hanging rail under overheads</v>
      </c>
      <c r="D57" s="362">
        <f>'[2]UPGRADES - BYRON RANGE'!$L$48</f>
        <v>300</v>
      </c>
    </row>
    <row r="58" spans="3:4">
      <c r="C58" s="496" t="str">
        <f>'[2]UPGRADES - BYRON RANGE'!$B$49</f>
        <v>Pullout laundry basket with drawer</v>
      </c>
      <c r="D58" s="362">
        <f>'[2]UPGRADES - BYRON RANGE'!$L$49</f>
        <v>235</v>
      </c>
    </row>
    <row r="60" spans="3:4">
      <c r="C60" s="18" t="s">
        <v>1214</v>
      </c>
    </row>
    <row r="61" spans="3:4">
      <c r="C61" s="496" t="str">
        <f>'[2]UPGRADES - BYRON RANGE'!$B$51</f>
        <v>Eaves to whole home</v>
      </c>
      <c r="D61" s="497">
        <f>'[2]UPGRADES - BYRON RANGE'!$L$51</f>
        <v>4500</v>
      </c>
    </row>
    <row r="62" spans="3:4">
      <c r="C62" s="496" t="str">
        <f>'[2]UPGRADES - BYRON RANGE'!$B$52</f>
        <v>Add 2100h x 2400w roller door - (2550mm Cielings Required)</v>
      </c>
      <c r="D62" s="362">
        <f>'[2]UPGRADES - BYRON RANGE'!$L$52</f>
        <v>1670</v>
      </c>
    </row>
    <row r="63" spans="3:4">
      <c r="C63" s="496" t="str">
        <f>'[2]UPGRADES - BYRON RANGE'!$B$53</f>
        <v>2550mm ceiling</v>
      </c>
      <c r="D63" s="497">
        <f>'[2]UPGRADES - BYRON RANGE'!$L$53</f>
        <v>3500</v>
      </c>
    </row>
    <row r="65" spans="3:4">
      <c r="C65" s="18" t="s">
        <v>1119</v>
      </c>
    </row>
    <row r="66" spans="3:4">
      <c r="C66" s="18" t="s">
        <v>1120</v>
      </c>
    </row>
    <row r="67" spans="3:4">
      <c r="C67" s="496" t="str">
        <f>'[2]UPGRADES - BYRON RANGE'!$B$56</f>
        <v>Double glazing to whole home (please note: all windows will be awning)</v>
      </c>
      <c r="D67" s="497">
        <f>'[2]UPGRADES - BYRON RANGE'!$L$56</f>
        <v>4700</v>
      </c>
    </row>
    <row r="68" spans="3:4">
      <c r="C68" s="496" t="str">
        <f>'[2]UPGRADES - BYRON RANGE'!$B$57</f>
        <v>Sliding door in lieu of swing</v>
      </c>
      <c r="D68" s="362">
        <f>'[2]UPGRADES - BYRON RANGE'!$L$57</f>
        <v>200</v>
      </c>
    </row>
    <row r="69" spans="3:4">
      <c r="C69" s="496" t="str">
        <f>'[2]UPGRADES - BYRON RANGE'!$B$58</f>
        <v>Wall mounted clothesline</v>
      </c>
      <c r="D69" s="362">
        <f>'[2]UPGRADES - BYRON RANGE'!$L$58</f>
        <v>400</v>
      </c>
    </row>
    <row r="70" spans="3:4">
      <c r="C70" s="496" t="str">
        <f>'[2]UPGRADES - BYRON RANGE'!$B$59</f>
        <v>Letterbox</v>
      </c>
      <c r="D70" s="362">
        <f>'[2]UPGRADES - BYRON RANGE'!$L$59</f>
        <v>350</v>
      </c>
    </row>
    <row r="71" spans="3:4">
      <c r="C71" s="496" t="str">
        <f>'[2]UPGRADES - BYRON RANGE'!$B$60</f>
        <v>Newington front door</v>
      </c>
      <c r="D71" s="362">
        <f>'[2]UPGRADES - BYRON RANGE'!$L$60</f>
        <v>300</v>
      </c>
    </row>
    <row r="72" spans="3:4">
      <c r="C72" s="496" t="str">
        <f>'[2]UPGRADES - BYRON RANGE'!$B$61</f>
        <v>Nexion front door handle</v>
      </c>
      <c r="D72" s="362">
        <f>'[2]UPGRADES - BYRON RANGE'!$L$61</f>
        <v>175</v>
      </c>
    </row>
    <row r="73" spans="3:4">
      <c r="C73" s="496" t="str">
        <f>'[2]UPGRADES - BYRON RANGE'!$B$62</f>
        <v>Brick Upgrade</v>
      </c>
      <c r="D73" s="362">
        <f>'[2]UPGRADES - BYRON RANGE'!$L$62</f>
        <v>720</v>
      </c>
    </row>
    <row r="75" spans="3:4">
      <c r="C75" s="18" t="s">
        <v>1121</v>
      </c>
    </row>
    <row r="76" spans="3:4">
      <c r="C76" s="496" t="str">
        <f>'[2]UPGRADES - BYRON RANGE'!$B$64</f>
        <v>Internal door pack - WIR, WIP &amp; rear hallway</v>
      </c>
      <c r="D76" s="362">
        <f>'[2]UPGRADES - BYRON RANGE'!$L$64</f>
        <v>660</v>
      </c>
    </row>
    <row r="77" spans="3:4">
      <c r="C77" s="496" t="str">
        <f>'[2]UPGRADES - BYRON RANGE'!$B$65</f>
        <v>2340mm high internal doors &amp; robe/linen doors - (2550mm Cielings Required)</v>
      </c>
      <c r="D77" s="497">
        <f>'[2]UPGRADES - BYRON RANGE'!$L$65</f>
        <v>960</v>
      </c>
    </row>
    <row r="78" spans="3:4">
      <c r="C78" s="496" t="str">
        <f>'[2]UPGRADES - BYRON RANGE'!$B$66</f>
        <v>Single roller blinds</v>
      </c>
      <c r="D78" s="497">
        <f>'[2]UPGRADES - BYRON RANGE'!$L$66</f>
        <v>2500</v>
      </c>
    </row>
    <row r="80" spans="3:4">
      <c r="C80" s="18" t="s">
        <v>509</v>
      </c>
    </row>
    <row r="81" spans="3:4">
      <c r="C81" s="233" t="s">
        <v>1153</v>
      </c>
      <c r="D81" s="362">
        <f>'[2]UPGRADES - BYRON RANGE'!$L$68</f>
        <v>50</v>
      </c>
    </row>
    <row r="82" spans="3:4">
      <c r="C82" s="233" t="s">
        <v>1154</v>
      </c>
      <c r="D82" s="362">
        <f>'[2]UPGRADES - BYRON RANGE'!$L$68*2</f>
        <v>100</v>
      </c>
    </row>
    <row r="83" spans="3:4">
      <c r="C83" s="233" t="s">
        <v>1155</v>
      </c>
      <c r="D83" s="362">
        <f>'[2]UPGRADES - BYRON RANGE'!$L$68*3</f>
        <v>150</v>
      </c>
    </row>
    <row r="84" spans="3:4">
      <c r="C84" s="233" t="s">
        <v>1156</v>
      </c>
      <c r="D84" s="362">
        <f>'[2]UPGRADES - BYRON RANGE'!$L$68*2</f>
        <v>100</v>
      </c>
    </row>
    <row r="85" spans="3:4">
      <c r="C85" s="233" t="s">
        <v>1157</v>
      </c>
      <c r="D85" s="362">
        <f>'[2]UPGRADES - BYRON RANGE'!$L$68*4</f>
        <v>200</v>
      </c>
    </row>
    <row r="86" spans="3:4">
      <c r="C86" s="233" t="s">
        <v>1158</v>
      </c>
      <c r="D86" s="362">
        <f>'[2]UPGRADES - BYRON RANGE'!$L$68*6</f>
        <v>300</v>
      </c>
    </row>
    <row r="87" spans="3:4">
      <c r="C87" s="233" t="s">
        <v>1159</v>
      </c>
      <c r="D87" s="362">
        <f>'[2]UPGRADES - BYRON RANGE'!$L$69</f>
        <v>185</v>
      </c>
    </row>
    <row r="88" spans="3:4">
      <c r="C88" s="233" t="s">
        <v>1171</v>
      </c>
      <c r="D88" s="362">
        <f>'[2]UPGRADES - BYRON RANGE'!$L$69*2</f>
        <v>370</v>
      </c>
    </row>
    <row r="89" spans="3:4">
      <c r="C89" s="233" t="s">
        <v>1172</v>
      </c>
      <c r="D89" s="362">
        <f>'[2]UPGRADES - BYRON RANGE'!$L$69*3</f>
        <v>555</v>
      </c>
    </row>
    <row r="90" spans="3:4">
      <c r="C90" s="233" t="s">
        <v>1173</v>
      </c>
      <c r="D90" s="362">
        <f>'[2]UPGRADES - BYRON RANGE'!$L$69*4</f>
        <v>740</v>
      </c>
    </row>
    <row r="91" spans="3:4">
      <c r="C91" s="233" t="s">
        <v>1174</v>
      </c>
      <c r="D91" s="362">
        <f>'[2]UPGRADES - BYRON RANGE'!$L$69*5</f>
        <v>925</v>
      </c>
    </row>
    <row r="92" spans="3:4">
      <c r="C92" s="233" t="s">
        <v>1175</v>
      </c>
      <c r="D92" s="362">
        <f>'[2]UPGRADES - BYRON RANGE'!$L$69*6</f>
        <v>1110</v>
      </c>
    </row>
    <row r="93" spans="3:4">
      <c r="C93" s="233" t="s">
        <v>1165</v>
      </c>
      <c r="D93" s="362">
        <f>'[2]UPGRADES - BYRON RANGE'!$L$70</f>
        <v>510</v>
      </c>
    </row>
    <row r="94" spans="3:4">
      <c r="C94" s="233" t="s">
        <v>1176</v>
      </c>
      <c r="D94" s="362">
        <f>'[2]UPGRADES - BYRON RANGE'!$L$70*2</f>
        <v>1020</v>
      </c>
    </row>
    <row r="95" spans="3:4">
      <c r="C95" s="233" t="s">
        <v>1177</v>
      </c>
      <c r="D95" s="362">
        <f>'[2]UPGRADES - BYRON RANGE'!$L$70*3</f>
        <v>1530</v>
      </c>
    </row>
    <row r="96" spans="3:4">
      <c r="C96" s="233" t="s">
        <v>1178</v>
      </c>
      <c r="D96" s="362">
        <f>'[2]UPGRADES - BYRON RANGE'!$L$70*4</f>
        <v>2040</v>
      </c>
    </row>
    <row r="97" spans="3:4">
      <c r="C97" s="233" t="s">
        <v>1179</v>
      </c>
      <c r="D97" s="362">
        <f>'[2]UPGRADES - BYRON RANGE'!$L$70*5</f>
        <v>2550</v>
      </c>
    </row>
    <row r="98" spans="3:4">
      <c r="C98" s="233" t="s">
        <v>1180</v>
      </c>
      <c r="D98" s="362">
        <f>'[2]UPGRADES - BYRON RANGE'!$L$70*6</f>
        <v>3060</v>
      </c>
    </row>
    <row r="100" spans="3:4">
      <c r="C100" s="18" t="s">
        <v>1123</v>
      </c>
    </row>
    <row r="101" spans="3:4">
      <c r="C101" s="496" t="str">
        <f>'[2]UPGRADES - BYRON RANGE'!$B$72</f>
        <v>600mm stainless steel oven &amp; canopy rangehood and electric cooktop</v>
      </c>
      <c r="D101" s="362">
        <f>'[2]UPGRADES - BYRON RANGE'!$L$72</f>
        <v>365</v>
      </c>
    </row>
    <row r="102" spans="3:4">
      <c r="C102" s="496" t="str">
        <f>'[2]UPGRADES - BYRON RANGE'!$B$73</f>
        <v>900mm black inbuilt oven, cooktop &amp; canopy rangehood</v>
      </c>
      <c r="D102" s="362">
        <f>'[2]UPGRADES - BYRON RANGE'!$L$73</f>
        <v>1870</v>
      </c>
    </row>
    <row r="103" spans="3:4">
      <c r="C103" s="496" t="str">
        <f>'[2]UPGRADES - BYRON RANGE'!$B$74</f>
        <v>900mm stainless steel inbuilt oven, cooktop &amp; canopy rangehood</v>
      </c>
      <c r="D103" s="362">
        <f>'[2]UPGRADES - BYRON RANGE'!$L$74</f>
        <v>1860</v>
      </c>
    </row>
    <row r="104" spans="3:4">
      <c r="C104" s="496" t="str">
        <f>'[2]UPGRADES - BYRON RANGE'!$B$75</f>
        <v>900mm black undermount rangehood in lieu of canopy</v>
      </c>
      <c r="D104" s="362">
        <f>'[2]UPGRADES - BYRON RANGE'!$L$75</f>
        <v>800</v>
      </c>
    </row>
    <row r="105" spans="3:4">
      <c r="C105" s="496" t="str">
        <f>'[2]UPGRADES - BYRON RANGE'!$B$76</f>
        <v>900mm stainless steel undermount rangehood in lieu of canopy</v>
      </c>
      <c r="D105" s="362">
        <f>'[2]UPGRADES - BYRON RANGE'!$L$76</f>
        <v>770</v>
      </c>
    </row>
    <row r="106" spans="3:4">
      <c r="C106" s="496" t="str">
        <f>'[2]UPGRADES - BYRON RANGE'!$B$77</f>
        <v>Stainless steel dishwasher</v>
      </c>
      <c r="D106" s="362">
        <f>'[2]UPGRADES - BYRON RANGE'!$L$77</f>
        <v>700</v>
      </c>
    </row>
    <row r="107" spans="3:4">
      <c r="C107" s="496" t="str">
        <f>'[2]UPGRADES - BYRON RANGE'!$B$78</f>
        <v>Black dishwasher</v>
      </c>
      <c r="D107" s="362">
        <f>'[2]UPGRADES - BYRON RANGE'!$L$78</f>
        <v>750</v>
      </c>
    </row>
    <row r="108" spans="3:4">
      <c r="C108" s="496" t="str">
        <f>'[2]UPGRADES - BYRON RANGE'!$B$79</f>
        <v>Cold water point for fridge</v>
      </c>
      <c r="D108" s="362">
        <f>'[2]UPGRADES - BYRON RANGE'!$L$79</f>
        <v>200</v>
      </c>
    </row>
    <row r="109" spans="3:4">
      <c r="C109" s="233" t="s">
        <v>1183</v>
      </c>
      <c r="D109" s="362">
        <f>'[2]UPGRADES - BYRON RANGE'!$L$80</f>
        <v>350</v>
      </c>
    </row>
    <row r="110" spans="3:4">
      <c r="C110" s="233" t="s">
        <v>1184</v>
      </c>
      <c r="D110" s="362">
        <f>'[2]UPGRADES - BYRON RANGE'!$L$80*2</f>
        <v>700</v>
      </c>
    </row>
    <row r="111" spans="3:4">
      <c r="C111" s="233" t="s">
        <v>1185</v>
      </c>
      <c r="D111" s="362">
        <f>'[2]UPGRADES - BYRON RANGE'!$L$80*3</f>
        <v>1050</v>
      </c>
    </row>
    <row r="112" spans="3:4">
      <c r="C112" s="233" t="s">
        <v>1186</v>
      </c>
      <c r="D112" s="362">
        <f>'[2]UPGRADES - BYRON RANGE'!$L$80*4</f>
        <v>1400</v>
      </c>
    </row>
    <row r="113" spans="3:4">
      <c r="C113" s="233" t="s">
        <v>1187</v>
      </c>
      <c r="D113" s="362">
        <f>'[2]UPGRADES - BYRON RANGE'!$L$80*5</f>
        <v>1750</v>
      </c>
    </row>
    <row r="114" spans="3:4">
      <c r="C114" s="496" t="str">
        <f>'[2]UPGRADES - BYRON RANGE'!$B$81</f>
        <v>Upgrade cabinetry handles - (Catergory 2)</v>
      </c>
      <c r="D114" s="362">
        <f>'[2]UPGRADES - BYRON RANGE'!$L$81</f>
        <v>150</v>
      </c>
    </row>
    <row r="115" spans="3:4">
      <c r="C115" s="496" t="str">
        <f>'[2]UPGRADES - BYRON RANGE'!$B$82</f>
        <v xml:space="preserve">20mm Stone benchtops- Standard </v>
      </c>
      <c r="D115" s="362">
        <f>'[2]UPGRADES - BYRON RANGE'!$L$82</f>
        <v>2980</v>
      </c>
    </row>
    <row r="116" spans="3:4">
      <c r="C116" s="496" t="str">
        <f>'[2]UPGRADES - BYRON RANGE'!$B$83</f>
        <v>20mm Stone benchtops - The Entertainers Kitchen</v>
      </c>
      <c r="D116" s="362">
        <f>'[2]UPGRADES - BYRON RANGE'!$L$83</f>
        <v>3650</v>
      </c>
    </row>
    <row r="117" spans="3:4">
      <c r="C117" s="496" t="str">
        <f>'[2]UPGRADES - BYRON RANGE'!$B$84</f>
        <v>20mm Stone benchtops - The Modern Chef Kitchen</v>
      </c>
      <c r="D117" s="362">
        <f>'[2]UPGRADES - BYRON RANGE'!$L$84</f>
        <v>4175</v>
      </c>
    </row>
    <row r="118" spans="3:4">
      <c r="C118" s="496" t="str">
        <f>'[2]UPGRADES - BYRON RANGE'!$B$85</f>
        <v>20mm Stone waterfall ends</v>
      </c>
      <c r="D118" s="362">
        <f>'[2]UPGRADES - BYRON RANGE'!$L$85</f>
        <v>1480</v>
      </c>
    </row>
    <row r="119" spans="3:4">
      <c r="C119" s="496" t="str">
        <f>'[2]UPGRADES - BYRON RANGE'!$B$86</f>
        <v xml:space="preserve">40mm Stone benchtops- Standard </v>
      </c>
      <c r="D119" s="362">
        <f>'[2]UPGRADES - BYRON RANGE'!$L$86</f>
        <v>3800</v>
      </c>
    </row>
    <row r="120" spans="3:4">
      <c r="C120" s="496" t="str">
        <f>'[2]UPGRADES - BYRON RANGE'!$B$87</f>
        <v>40mm Stone benchtops- The Entertainers Kitchen</v>
      </c>
      <c r="D120" s="362">
        <f>'[2]UPGRADES - BYRON RANGE'!$L$87</f>
        <v>4660</v>
      </c>
    </row>
    <row r="121" spans="3:4">
      <c r="C121" s="496" t="str">
        <f>'[2]UPGRADES - BYRON RANGE'!$B$88</f>
        <v>40mm Stone benchtops - The Modern Chef Kitchen</v>
      </c>
      <c r="D121" s="362">
        <f>'[2]UPGRADES - BYRON RANGE'!$L$88</f>
        <v>5360</v>
      </c>
    </row>
    <row r="122" spans="3:4">
      <c r="C122" s="496" t="str">
        <f>'[2]UPGRADES - BYRON RANGE'!$B$89</f>
        <v>40mm Stone waterfall ends</v>
      </c>
      <c r="D122" s="362">
        <f>'[2]UPGRADES - BYRON RANGE'!$L$89</f>
        <v>1720</v>
      </c>
    </row>
    <row r="123" spans="3:4">
      <c r="C123" s="496" t="str">
        <f>'[2]UPGRADES - BYRON RANGE'!$B$90</f>
        <v>Double bowl sink</v>
      </c>
      <c r="D123" s="362">
        <f>'[2]UPGRADES - BYRON RANGE'!$L$90</f>
        <v>350</v>
      </c>
    </row>
    <row r="124" spans="3:4">
      <c r="C124" s="496" t="str">
        <f>'[2]UPGRADES - BYRON RANGE'!$B$91</f>
        <v>Upgrade vegie kitchen mixer in chrome</v>
      </c>
      <c r="D124" s="362">
        <f>'[2]UPGRADES - BYRON RANGE'!$L$91</f>
        <v>120</v>
      </c>
    </row>
    <row r="125" spans="3:4">
      <c r="C125" s="496" t="str">
        <f>'[2]UPGRADES - BYRON RANGE'!$B$92</f>
        <v>Upgrade vegie kitchen mixer in black</v>
      </c>
      <c r="D125" s="362">
        <f>'[2]UPGRADES - BYRON RANGE'!$L$92</f>
        <v>130</v>
      </c>
    </row>
    <row r="127" spans="3:4">
      <c r="C127" s="18" t="s">
        <v>1117</v>
      </c>
    </row>
    <row r="128" spans="3:4">
      <c r="C128" s="496" t="str">
        <f>'[2]UPGRADES - BYRON RANGE'!$B$94</f>
        <v>20mm Stone benchtops</v>
      </c>
      <c r="D128" s="362">
        <f>'[2]UPGRADES - BYRON RANGE'!$L$94</f>
        <v>900</v>
      </c>
    </row>
    <row r="129" spans="3:4">
      <c r="C129" s="496" t="str">
        <f>'[2]UPGRADES - BYRON RANGE'!$B$95</f>
        <v>Dual shower heads</v>
      </c>
      <c r="D129" s="362">
        <f>'[2]UPGRADES - BYRON RANGE'!$L$95</f>
        <v>440</v>
      </c>
    </row>
    <row r="130" spans="3:4">
      <c r="C130" s="496" t="str">
        <f>'[2]UPGRADES - BYRON RANGE'!$B$96</f>
        <v>Additional towel rails</v>
      </c>
      <c r="D130" s="362">
        <f>'[2]UPGRADES - BYRON RANGE'!$L$96</f>
        <v>160</v>
      </c>
    </row>
    <row r="131" spans="3:4">
      <c r="C131" s="496" t="str">
        <f>'[2]UPGRADES - BYRON RANGE'!$B$97</f>
        <v>Upgrade tapware and accessories to Winton in chrome</v>
      </c>
      <c r="D131" s="362">
        <f>'[2]UPGRADES - BYRON RANGE'!$L$97</f>
        <v>630</v>
      </c>
    </row>
    <row r="132" spans="3:4">
      <c r="C132" s="496" t="str">
        <f>'[2]UPGRADES - BYRON RANGE'!$B$98</f>
        <v>Upgrade tapware and accessories to Winton in black</v>
      </c>
      <c r="D132" s="362">
        <f>'[2]UPGRADES - BYRON RANGE'!$L$98</f>
        <v>700</v>
      </c>
    </row>
    <row r="133" spans="3:4">
      <c r="C133" s="496" t="str">
        <f>'[2]UPGRADES - BYRON RANGE'!$B$99</f>
        <v>Upgrade vanity basins</v>
      </c>
      <c r="D133" s="362">
        <f>'[2]UPGRADES - BYRON RANGE'!$L$99</f>
        <v>300</v>
      </c>
    </row>
    <row r="134" spans="3:4">
      <c r="C134" s="496" t="str">
        <f>'[2]UPGRADES - BYRON RANGE'!$B$100</f>
        <v>Upgrade cabinetry handles including laundry - (Catergory 2)</v>
      </c>
      <c r="D134" s="362">
        <f>'[2]UPGRADES - BYRON RANGE'!$L$100</f>
        <v>105</v>
      </c>
    </row>
    <row r="136" spans="3:4">
      <c r="C136" s="18" t="s">
        <v>506</v>
      </c>
    </row>
    <row r="137" spans="3:4">
      <c r="C137" s="496" t="str">
        <f>'[2]UPGRADES - BYRON RANGE'!$B$105</f>
        <v>Downlight Pack 1: Entry &amp; Family room</v>
      </c>
      <c r="D137" s="497">
        <f>'[2]UPGRADES - BYRON RANGE'!$L$105</f>
        <v>1085</v>
      </c>
    </row>
    <row r="138" spans="3:4">
      <c r="C138" s="496" t="str">
        <f>'[2]UPGRADES - BYRON RANGE'!$B$106</f>
        <v>Downlight Pack 2: Whole home</v>
      </c>
      <c r="D138" s="497">
        <f>'[2]UPGRADES - BYRON RANGE'!$L$106</f>
        <v>1990</v>
      </c>
    </row>
    <row r="139" spans="3:4">
      <c r="C139" s="496" t="str">
        <f>'[2]UPGRADES - BYRON RANGE'!$B$107</f>
        <v>External Pack 1: Downlights to porch &amp; front eave</v>
      </c>
      <c r="D139" s="362">
        <f>'[2]UPGRADES - BYRON RANGE'!$L$107</f>
        <v>160</v>
      </c>
    </row>
    <row r="140" spans="3:4">
      <c r="C140" s="496" t="str">
        <f>'[2]UPGRADES - BYRON RANGE'!$B$108</f>
        <v>External Pack 2: 2 x Up/down lights, 2 downlights to outdoor living &amp; 2 floodlights</v>
      </c>
      <c r="D140" s="362">
        <f>'[2]UPGRADES - BYRON RANGE'!$L$108</f>
        <v>1070</v>
      </c>
    </row>
    <row r="141" spans="3:4">
      <c r="C141" s="496" t="str">
        <f>'[2]UPGRADES - BYRON RANGE'!$B$109</f>
        <v>Pendant Pack: 3 Pendants to island bench</v>
      </c>
      <c r="D141" s="362">
        <f>'[2]UPGRADES - BYRON RANGE'!$L$109</f>
        <v>1160</v>
      </c>
    </row>
    <row r="142" spans="3:4">
      <c r="C142" s="496" t="str">
        <f>'[2]UPGRADES - BYRON RANGE'!$B$110</f>
        <v>Fan Pack 1: Ceiling fans to all bedrooms</v>
      </c>
      <c r="D142" s="497">
        <f>'[2]UPGRADES - BYRON RANGE'!$L$110</f>
        <v>1750</v>
      </c>
    </row>
    <row r="143" spans="3:4">
      <c r="C143" s="496" t="str">
        <f>'[2]UPGRADES - BYRON RANGE'!$B$111</f>
        <v>Fan Pack 2: Ceiling fans to living areas</v>
      </c>
      <c r="D143" s="362">
        <f>'[2]UPGRADES - BYRON RANGE'!$L$111</f>
        <v>930</v>
      </c>
    </row>
    <row r="144" spans="3:4">
      <c r="C144" s="496" t="str">
        <f>'[2]UPGRADES - BYRON RANGE'!$B$112</f>
        <v>Fan Pack 3: Ceiling fan to outdoor living</v>
      </c>
      <c r="D144" s="362">
        <f>'[2]UPGRADES - BYRON RANGE'!$L$112</f>
        <v>470</v>
      </c>
    </row>
    <row r="145" spans="3:4">
      <c r="C145" s="496" t="str">
        <f>'[2]UPGRADES - BYRON RANGE'!$B$113</f>
        <v>TV antenna</v>
      </c>
      <c r="D145" s="362">
        <f>'[2]UPGRADES - BYRON RANGE'!$L$113</f>
        <v>590</v>
      </c>
    </row>
    <row r="146" spans="3:4">
      <c r="C146" s="496" t="str">
        <f>'[2]UPGRADES - BYRON RANGE'!$B$114</f>
        <v>TV Pack: 2 x TV points &amp; 2 x double powerpoints</v>
      </c>
      <c r="D146" s="362">
        <f>'[2]UPGRADES - BYRON RANGE'!$L$114</f>
        <v>340</v>
      </c>
    </row>
    <row r="147" spans="3:4">
      <c r="C147" s="496" t="str">
        <f>'[2]UPGRADES - BYRON RANGE'!$B$115</f>
        <v>Powerpoint Pack 1: 5 x Double powerpoints</v>
      </c>
      <c r="D147" s="362">
        <f>'[2]UPGRADES - BYRON RANGE'!$L$115</f>
        <v>430</v>
      </c>
    </row>
    <row r="148" spans="3:4">
      <c r="C148" s="496" t="str">
        <f>'[2]UPGRADES - BYRON RANGE'!$B$116</f>
        <v>Powerpoint Pack 2: 10 x Double powerpoints</v>
      </c>
      <c r="D148" s="362">
        <f>'[2]UPGRADES - BYRON RANGE'!$L$116</f>
        <v>850</v>
      </c>
    </row>
    <row r="150" spans="3:4">
      <c r="C150" s="18" t="s">
        <v>1124</v>
      </c>
    </row>
    <row r="151" spans="3:4">
      <c r="C151" s="496" t="str">
        <f>'[2]UPGRADES - BYRON RANGE'!$B$102</f>
        <v>1 x Additional split system - (3.5kw)</v>
      </c>
      <c r="D151" s="362">
        <f>'[2]UPGRADES - BYRON RANGE'!$L$102</f>
        <v>3200</v>
      </c>
    </row>
    <row r="152" spans="3:4">
      <c r="C152" s="233" t="s">
        <v>1188</v>
      </c>
      <c r="D152" s="362">
        <f>'[2]UPGRADES - BYRON RANGE'!$L$102*2</f>
        <v>6400</v>
      </c>
    </row>
    <row r="153" spans="3:4">
      <c r="C153" s="233" t="s">
        <v>1189</v>
      </c>
      <c r="D153" s="362">
        <f>'[2]UPGRADES - BYRON RANGE'!$L$102*3</f>
        <v>9600</v>
      </c>
    </row>
    <row r="154" spans="3:4">
      <c r="C154" s="233" t="s">
        <v>1190</v>
      </c>
      <c r="D154" s="362">
        <f>'[2]UPGRADES - BYRON RANGE'!$L$102*4</f>
        <v>12800</v>
      </c>
    </row>
    <row r="155" spans="3:4">
      <c r="C155" s="496" t="str">
        <f>'[2]UPGRADES - BYRON RANGE'!$B$103</f>
        <v>Upgrade to reverse cycle ducted system</v>
      </c>
      <c r="D155" s="497">
        <f>'[2]UPGRADES - BYRON RANGE'!$L$103</f>
        <v>10900</v>
      </c>
    </row>
    <row r="157" spans="3:4">
      <c r="C157" s="18" t="s">
        <v>1125</v>
      </c>
    </row>
    <row r="158" spans="3:4">
      <c r="C158" s="496" t="str">
        <f>'[2]UPGRADES - BYRON RANGE'!$B$118</f>
        <v>Upgrade carpet</v>
      </c>
      <c r="D158" s="362">
        <f>'[2]UPGRADES - BYRON RANGE'!$L$118</f>
        <v>450</v>
      </c>
    </row>
    <row r="159" spans="3:4">
      <c r="C159" s="496" t="str">
        <f>'[2]UPGRADES - BYRON RANGE'!$B$119</f>
        <v>Upgrade tiles to wet area floor &amp; walls</v>
      </c>
      <c r="D159" s="362">
        <f>'[2]UPGRADES - BYRON RANGE'!$L$119</f>
        <v>600</v>
      </c>
    </row>
    <row r="160" spans="3:4">
      <c r="C160" s="496" t="str">
        <f>'[2]UPGRADES - BYRON RANGE'!$B$120</f>
        <v>Upgrade tiles to main area floors</v>
      </c>
      <c r="D160" s="362">
        <f>'[2]UPGRADES - BYRON RANGE'!$L$120</f>
        <v>1500</v>
      </c>
    </row>
    <row r="161" spans="3:6">
      <c r="C161" s="496" t="str">
        <f>'[2]UPGRADES - BYRON RANGE'!$B$121</f>
        <v>Upgrade tiles to kitchen &amp; laundry splashback</v>
      </c>
      <c r="D161" s="362">
        <f>'[2]UPGRADES - BYRON RANGE'!$L$121</f>
        <v>300</v>
      </c>
      <c r="F161" t="s">
        <v>1126</v>
      </c>
    </row>
    <row r="162" spans="3:6">
      <c r="C162" s="233" t="s">
        <v>1194</v>
      </c>
      <c r="D162" s="362">
        <f>'[2]UPGRADES - BYRON RANGE'!$L$121+100</f>
        <v>400</v>
      </c>
    </row>
    <row r="163" spans="3:6">
      <c r="C163" s="233" t="s">
        <v>1193</v>
      </c>
      <c r="D163" s="362">
        <f>'[2]UPGRADES - BYRON RANGE'!$L$121+200</f>
        <v>500</v>
      </c>
    </row>
    <row r="164" spans="3:6">
      <c r="C164" s="496" t="str">
        <f>'[2]UPGRADES - BYRON RANGE'!$B$122</f>
        <v>Upgrade to vinyl - (Wet Area's to be Tiles)</v>
      </c>
      <c r="D164" s="497">
        <f>'[2]UPGRADES - BYRON RANGE'!$L$122</f>
        <v>3500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BA30-A539-4E57-9433-930451376DDF}">
  <dimension ref="C3:F164"/>
  <sheetViews>
    <sheetView topLeftCell="A138" workbookViewId="0">
      <selection activeCell="J66" sqref="J66"/>
    </sheetView>
  </sheetViews>
  <sheetFormatPr defaultRowHeight="14.4"/>
  <cols>
    <col min="3" max="3" width="63.88671875" customWidth="1"/>
    <col min="4" max="4" width="11.33203125" style="361" bestFit="1" customWidth="1"/>
  </cols>
  <sheetData>
    <row r="3" spans="3:4">
      <c r="C3" s="18" t="s">
        <v>1112</v>
      </c>
    </row>
    <row r="4" spans="3:4">
      <c r="C4" s="496" t="str">
        <f>'[2]UPGRADES - BYRON RANGE'!$B$6</f>
        <v>Extend garage by 500mm</v>
      </c>
      <c r="D4" s="362">
        <f>'[2]UPGRADES - BYRON RANGE'!$M$6</f>
        <v>2500</v>
      </c>
    </row>
    <row r="5" spans="3:4">
      <c r="C5" s="496" t="str">
        <f>'[2]UPGRADES - BYRON RANGE'!$B$7</f>
        <v>Extend garage by 1000mm</v>
      </c>
      <c r="D5" s="362">
        <f>'[2]UPGRADES - BYRON RANGE'!$M$7</f>
        <v>5000</v>
      </c>
    </row>
    <row r="6" spans="3:4">
      <c r="C6" s="496" t="str">
        <f>'[2]UPGRADES - BYRON RANGE'!$B$8</f>
        <v>Outdoor Living - addition 1</v>
      </c>
      <c r="D6" s="497">
        <f>'[2]UPGRADES - BYRON RANGE'!$M$8</f>
        <v>5500</v>
      </c>
    </row>
    <row r="7" spans="3:4">
      <c r="C7" s="496" t="str">
        <f>'[2]UPGRADES - BYRON RANGE'!$B$9</f>
        <v>Outdoor Living - brick pier in lieu of steel post</v>
      </c>
      <c r="D7" s="362">
        <f>'[2]UPGRADES - BYRON RANGE'!$M$9</f>
        <v>800</v>
      </c>
    </row>
    <row r="8" spans="3:4">
      <c r="C8" s="496" t="str">
        <f>'[2]UPGRADES - BYRON RANGE'!$B$10</f>
        <v xml:space="preserve">Additional concrete - outdoor living </v>
      </c>
      <c r="D8" s="497">
        <f>'[2]UPGRADES - BYRON RANGE'!$M$10</f>
        <v>1960</v>
      </c>
    </row>
    <row r="9" spans="3:4">
      <c r="C9" s="496" t="str">
        <f>'[2]UPGRADES - BYRON RANGE'!$B$11</f>
        <v>Outdoor Living - addition 2</v>
      </c>
      <c r="D9" s="362">
        <f>'[2]UPGRADES - BYRON RANGE'!$M$11</f>
        <v>7250</v>
      </c>
    </row>
    <row r="10" spans="3:4">
      <c r="C10" s="496" t="str">
        <f>'[2]UPGRADES - BYRON RANGE'!$B$12</f>
        <v>Outdoor Living - brick pier in lieu of steel post</v>
      </c>
      <c r="D10" s="362">
        <f>'[2]UPGRADES - BYRON RANGE'!$M$12</f>
        <v>800</v>
      </c>
    </row>
    <row r="11" spans="3:4">
      <c r="C11" s="496" t="str">
        <f>'[2]UPGRADES - BYRON RANGE'!$B$13</f>
        <v xml:space="preserve">Additional concrete- Outdoor living </v>
      </c>
      <c r="D11" s="362">
        <f>'[2]UPGRADES - BYRON RANGE'!$M$13</f>
        <v>2520</v>
      </c>
    </row>
    <row r="12" spans="3:4">
      <c r="C12" s="496" t="str">
        <f>'[2]UPGRADES - BYRON RANGE'!$B$14</f>
        <v>Kitchen - The Entertainers Kitchen</v>
      </c>
      <c r="D12" s="362">
        <f>'[2]UPGRADES - BYRON RANGE'!$M$14</f>
        <v>900</v>
      </c>
    </row>
    <row r="13" spans="3:4">
      <c r="C13" s="496" t="str">
        <f>'[2]UPGRADES - BYRON RANGE'!$B$15</f>
        <v>Kitchen - The Modern Chef Kitchen</v>
      </c>
      <c r="D13" s="362">
        <f>'[2]UPGRADES - BYRON RANGE'!$M$15</f>
        <v>4100</v>
      </c>
    </row>
    <row r="14" spans="3:4">
      <c r="C14" s="496" t="str">
        <f>'[2]UPGRADES - BYRON RANGE'!$B$16</f>
        <v>Ensuite - The Signature Ensuite</v>
      </c>
      <c r="D14" s="362">
        <f>'[2]UPGRADES - BYRON RANGE'!$M$16</f>
        <v>750</v>
      </c>
    </row>
    <row r="15" spans="3:4">
      <c r="C15" s="496" t="str">
        <f>'[2]UPGRADES - BYRON RANGE'!$B$17</f>
        <v>Ensuite - The Indulgence Ensuite</v>
      </c>
      <c r="D15" s="362">
        <f>'[2]UPGRADES - BYRON RANGE'!$M$17</f>
        <v>3280</v>
      </c>
    </row>
    <row r="17" spans="3:4">
      <c r="C17" s="18" t="s">
        <v>1113</v>
      </c>
    </row>
    <row r="18" spans="3:4">
      <c r="C18" s="233" t="s">
        <v>1114</v>
      </c>
      <c r="D18" s="498" t="s">
        <v>267</v>
      </c>
    </row>
    <row r="19" spans="3:4">
      <c r="C19" s="496" t="str">
        <f>'[2]UPGRADES - BYRON RANGE'!$B$19</f>
        <v>1 The Retreat Façade</v>
      </c>
      <c r="D19" s="362">
        <f>'[2]UPGRADES - BYRON RANGE'!$M$19</f>
        <v>3300</v>
      </c>
    </row>
    <row r="20" spans="3:4">
      <c r="C20" s="496" t="str">
        <f>'[2]UPGRADES - BYRON RANGE'!$B$20</f>
        <v>2 The Rise Façade</v>
      </c>
      <c r="D20" s="362">
        <f>'[2]UPGRADES - BYRON RANGE'!$M$20</f>
        <v>7300</v>
      </c>
    </row>
    <row r="21" spans="3:4">
      <c r="C21" s="496" t="str">
        <f>'[2]UPGRADES - BYRON RANGE'!$B$21</f>
        <v>3 The Escape Façade</v>
      </c>
      <c r="D21" s="362">
        <f>'[2]UPGRADES - BYRON RANGE'!$M$21</f>
        <v>8950</v>
      </c>
    </row>
    <row r="22" spans="3:4">
      <c r="C22" s="496" t="str">
        <f>'[2]UPGRADES - BYRON RANGE'!$B$22</f>
        <v>4 The Essence Façade</v>
      </c>
      <c r="D22" s="362">
        <f>'[2]UPGRADES - BYRON RANGE'!$M$22</f>
        <v>6500</v>
      </c>
    </row>
    <row r="23" spans="3:4">
      <c r="C23" s="496" t="str">
        <f>'[2]UPGRADES - BYRON RANGE'!$B$23</f>
        <v>5 The Sanctuary Façade</v>
      </c>
      <c r="D23" s="362">
        <f>'[2]UPGRADES - BYRON RANGE'!$M$23</f>
        <v>9050</v>
      </c>
    </row>
    <row r="24" spans="3:4">
      <c r="C24" s="496" t="str">
        <f>'[2]UPGRADES - BYRON RANGE'!$B$24</f>
        <v>6. The Summit Façade</v>
      </c>
      <c r="D24" s="362">
        <f>'[2]UPGRADES - BYRON RANGE'!$M$24</f>
        <v>8500</v>
      </c>
    </row>
    <row r="25" spans="3:4">
      <c r="C25" s="496" t="str">
        <f>'[2]UPGRADES - BYRON RANGE'!$B$25</f>
        <v>7. The Haven Facade</v>
      </c>
      <c r="D25" s="362">
        <f>'[2]UPGRADES - BYRON RANGE'!$M$25</f>
        <v>8500</v>
      </c>
    </row>
    <row r="26" spans="3:4">
      <c r="C26" s="496" t="str">
        <f>'[2]UPGRADES - BYRON RANGE'!$B$26</f>
        <v>9. The Horizon Façade</v>
      </c>
      <c r="D26" s="362">
        <f>'[2]UPGRADES - BYRON RANGE'!$M$26</f>
        <v>10500</v>
      </c>
    </row>
    <row r="28" spans="3:4">
      <c r="C28" s="18" t="s">
        <v>1115</v>
      </c>
    </row>
    <row r="29" spans="3:4">
      <c r="C29" s="18" t="s">
        <v>1116</v>
      </c>
    </row>
    <row r="30" spans="3:4">
      <c r="C30" s="496" t="str">
        <f>'[2]UPGRADES - BYRON RANGE'!$B$29</f>
        <v>600mm overhead either side of rangehood</v>
      </c>
      <c r="D30" s="362">
        <f>'[2]UPGRADES - BYRON RANGE'!$M$29</f>
        <v>990</v>
      </c>
    </row>
    <row r="31" spans="3:4">
      <c r="C31" s="496" t="str">
        <f>'[2]UPGRADES - BYRON RANGE'!$B$30</f>
        <v>Overhead cupboards with integrated rangehood</v>
      </c>
      <c r="D31" s="362">
        <f>'[2]UPGRADES - BYRON RANGE'!$M$30</f>
        <v>1650</v>
      </c>
    </row>
    <row r="32" spans="3:4">
      <c r="C32" s="496" t="str">
        <f>'[2]UPGRADES - BYRON RANGE'!$B$31</f>
        <v>Fridge overhead cupboard</v>
      </c>
      <c r="D32" s="362">
        <f>'[2]UPGRADES - BYRON RANGE'!$M$31</f>
        <v>960</v>
      </c>
    </row>
    <row r="33" spans="3:4">
      <c r="C33" s="233" t="s">
        <v>1147</v>
      </c>
      <c r="D33" s="362">
        <f>'[2]UPGRADES - BYRON RANGE'!$M$32</f>
        <v>330</v>
      </c>
    </row>
    <row r="34" spans="3:4">
      <c r="C34" s="233" t="s">
        <v>1148</v>
      </c>
      <c r="D34" s="362">
        <f>'[2]UPGRADES - BYRON RANGE'!$M$32*2</f>
        <v>660</v>
      </c>
    </row>
    <row r="35" spans="3:4">
      <c r="C35" s="233" t="s">
        <v>1149</v>
      </c>
      <c r="D35" s="362">
        <f>'[2]UPGRADES - BYRON RANGE'!$M$32*3</f>
        <v>990</v>
      </c>
    </row>
    <row r="36" spans="3:4">
      <c r="C36" s="233" t="s">
        <v>1150</v>
      </c>
      <c r="D36" s="362">
        <f>'[2]UPGRADES - BYRON RANGE'!$M$32*4</f>
        <v>1320</v>
      </c>
    </row>
    <row r="37" spans="3:4">
      <c r="C37" s="233" t="s">
        <v>1151</v>
      </c>
      <c r="D37" s="362">
        <f>'[2]UPGRADES - BYRON RANGE'!$M$32*5</f>
        <v>1650</v>
      </c>
    </row>
    <row r="38" spans="3:4">
      <c r="C38" s="496" t="str">
        <f>'[2]UPGRADES - BYRON RANGE'!$B$33</f>
        <v>Microwave cavity with drawer below</v>
      </c>
      <c r="D38" s="362">
        <f>'[2]UPGRADES - BYRON RANGE'!$M$33</f>
        <v>415</v>
      </c>
    </row>
    <row r="39" spans="3:4">
      <c r="C39" s="496" t="str">
        <f>'[2]UPGRADES - BYRON RANGE'!$B$34</f>
        <v>Twin bin with drawer below</v>
      </c>
      <c r="D39" s="362">
        <f>'[2]UPGRADES - BYRON RANGE'!$M$34</f>
        <v>250</v>
      </c>
    </row>
    <row r="40" spans="3:4">
      <c r="C40" s="496" t="str">
        <f>'[2]UPGRADES - BYRON RANGE'!$B$35</f>
        <v>1212 No Bottom Reveal Window to Kitchen Upgrade 2</v>
      </c>
      <c r="D40" s="362">
        <f>'[2]UPGRADES - BYRON RANGE'!$M$35</f>
        <v>390</v>
      </c>
    </row>
    <row r="42" spans="3:4">
      <c r="C42" s="18" t="s">
        <v>1117</v>
      </c>
    </row>
    <row r="43" spans="3:4">
      <c r="C43" s="496" t="str">
        <f>'[2]UPGRADES - BYRON RANGE'!$B$37</f>
        <v>Bank of 3 drawers to vanities</v>
      </c>
      <c r="D43" s="362">
        <f>'[2]UPGRADES - BYRON RANGE'!$M$37</f>
        <v>660</v>
      </c>
    </row>
    <row r="44" spans="3:4">
      <c r="C44" s="233" t="s">
        <v>1181</v>
      </c>
      <c r="D44" s="362">
        <f>'[2]UPGRADES - BYRON RANGE'!$M$38*2</f>
        <v>660</v>
      </c>
    </row>
    <row r="45" spans="3:4">
      <c r="C45" s="233" t="s">
        <v>1182</v>
      </c>
      <c r="D45" s="362">
        <f>'[2]UPGRADES - BYRON RANGE'!$M$38*3</f>
        <v>990</v>
      </c>
    </row>
    <row r="46" spans="3:4">
      <c r="C46" s="496" t="s">
        <v>1191</v>
      </c>
      <c r="D46" s="362">
        <f>'[2]UPGRADES - BYRON RANGE'!$M$39/2*2</f>
        <v>280</v>
      </c>
    </row>
    <row r="47" spans="3:4">
      <c r="C47" s="496" t="s">
        <v>1192</v>
      </c>
      <c r="D47" s="362">
        <f>'[2]UPGRADES - BYRON RANGE'!$M$39/2*3</f>
        <v>420</v>
      </c>
    </row>
    <row r="48" spans="3:4">
      <c r="C48" s="496" t="str">
        <f>'[2]UPGRADES - BYRON RANGE'!$B$40</f>
        <v>Tiled recess shelves</v>
      </c>
      <c r="D48" s="362">
        <f>'[2]UPGRADES - BYRON RANGE'!$M$40</f>
        <v>800</v>
      </c>
    </row>
    <row r="49" spans="3:4">
      <c r="C49" s="496" t="str">
        <f>'[2]UPGRADES - BYRON RANGE'!$B$41</f>
        <v>Extend tiles to 2.1m high on vanity wall</v>
      </c>
      <c r="D49" s="362">
        <f>'[2]UPGRADES - BYRON RANGE'!$M$41</f>
        <v>300</v>
      </c>
    </row>
    <row r="50" spans="3:4">
      <c r="C50" s="496" t="str">
        <f>'[2]UPGRADES - BYRON RANGE'!$B$42</f>
        <v>Extend tiles to 2.1m high on remaining three walls</v>
      </c>
      <c r="D50" s="362">
        <f>'[2]UPGRADES - BYRON RANGE'!$M$42</f>
        <v>1700</v>
      </c>
    </row>
    <row r="52" spans="3:4">
      <c r="C52" s="18" t="s">
        <v>1118</v>
      </c>
    </row>
    <row r="53" spans="3:4">
      <c r="C53" s="496" t="str">
        <f>'[2]UPGRADES - BYRON RANGE'!$B$44</f>
        <v>1200mm Laminate benchtop &amp; cupboards</v>
      </c>
      <c r="D53" s="362">
        <f>'[2]UPGRADES - BYRON RANGE'!$M$44</f>
        <v>1680</v>
      </c>
    </row>
    <row r="54" spans="3:4">
      <c r="C54" s="496" t="str">
        <f>'[2]UPGRADES - BYRON RANGE'!$B$45</f>
        <v>Extend laminate benchtop only by 1350mm with powerpoint</v>
      </c>
      <c r="D54" s="362">
        <f>'[2]UPGRADES - BYRON RANGE'!$M$45</f>
        <v>830</v>
      </c>
    </row>
    <row r="55" spans="3:4">
      <c r="C55" s="496" t="str">
        <f>'[2]UPGRADES - BYRON RANGE'!$B$46</f>
        <v>1200mm Overhead cupboards</v>
      </c>
      <c r="D55" s="362">
        <f>'[2]UPGRADES - BYRON RANGE'!$M$46</f>
        <v>1040</v>
      </c>
    </row>
    <row r="56" spans="3:4">
      <c r="C56" s="496" t="str">
        <f>'[2]UPGRADES - BYRON RANGE'!$B$47</f>
        <v>1350mm Overhead cupboards</v>
      </c>
      <c r="D56" s="362">
        <f>'[2]UPGRADES - BYRON RANGE'!$M$47</f>
        <v>1170</v>
      </c>
    </row>
    <row r="57" spans="3:4">
      <c r="C57" s="496" t="str">
        <f>'[2]UPGRADES - BYRON RANGE'!$B$48</f>
        <v>Hanging rail under overheads</v>
      </c>
      <c r="D57" s="362">
        <f>'[2]UPGRADES - BYRON RANGE'!$M$48</f>
        <v>300</v>
      </c>
    </row>
    <row r="58" spans="3:4">
      <c r="C58" s="496" t="str">
        <f>'[2]UPGRADES - BYRON RANGE'!$B$49</f>
        <v>Pullout laundry basket with drawer</v>
      </c>
      <c r="D58" s="362">
        <f>'[2]UPGRADES - BYRON RANGE'!$M$49</f>
        <v>235</v>
      </c>
    </row>
    <row r="60" spans="3:4">
      <c r="C60" s="18" t="s">
        <v>1214</v>
      </c>
    </row>
    <row r="61" spans="3:4">
      <c r="C61" s="496" t="str">
        <f>'[2]UPGRADES - BYRON RANGE'!$B$51</f>
        <v>Eaves to whole home</v>
      </c>
      <c r="D61" s="497">
        <f>'[2]UPGRADES - BYRON RANGE'!$M$51</f>
        <v>4900</v>
      </c>
    </row>
    <row r="62" spans="3:4">
      <c r="C62" s="496" t="str">
        <f>'[2]UPGRADES - BYRON RANGE'!$B$52</f>
        <v>Add 2100h x 2400w roller door - (2550mm Cielings Required)</v>
      </c>
      <c r="D62" s="362">
        <f>'[2]UPGRADES - BYRON RANGE'!$M$52</f>
        <v>1670</v>
      </c>
    </row>
    <row r="63" spans="3:4">
      <c r="C63" s="496" t="str">
        <f>'[2]UPGRADES - BYRON RANGE'!$B$53</f>
        <v>2550mm ceiling</v>
      </c>
      <c r="D63" s="497">
        <f>'[2]UPGRADES - BYRON RANGE'!$M$53</f>
        <v>3900</v>
      </c>
    </row>
    <row r="65" spans="3:4">
      <c r="C65" s="18" t="s">
        <v>1119</v>
      </c>
    </row>
    <row r="66" spans="3:4">
      <c r="C66" s="18" t="s">
        <v>1120</v>
      </c>
    </row>
    <row r="67" spans="3:4">
      <c r="C67" s="496" t="str">
        <f>'[2]UPGRADES - BYRON RANGE'!$B$56</f>
        <v>Double glazing to whole home (please note: all windows will be awning)</v>
      </c>
      <c r="D67" s="497">
        <f>'[2]UPGRADES - BYRON RANGE'!$M$56</f>
        <v>5100</v>
      </c>
    </row>
    <row r="68" spans="3:4">
      <c r="C68" s="496" t="str">
        <f>'[2]UPGRADES - BYRON RANGE'!$B$57</f>
        <v>Sliding door in lieu of swing</v>
      </c>
      <c r="D68" s="362">
        <f>'[2]UPGRADES - BYRON RANGE'!$M$57</f>
        <v>200</v>
      </c>
    </row>
    <row r="69" spans="3:4">
      <c r="C69" s="496" t="str">
        <f>'[2]UPGRADES - BYRON RANGE'!$B$58</f>
        <v>Wall mounted clothesline</v>
      </c>
      <c r="D69" s="362">
        <f>'[2]UPGRADES - BYRON RANGE'!$M$58</f>
        <v>400</v>
      </c>
    </row>
    <row r="70" spans="3:4">
      <c r="C70" s="496" t="str">
        <f>'[2]UPGRADES - BYRON RANGE'!$B$59</f>
        <v>Letterbox</v>
      </c>
      <c r="D70" s="362">
        <f>'[2]UPGRADES - BYRON RANGE'!$M$59</f>
        <v>350</v>
      </c>
    </row>
    <row r="71" spans="3:4">
      <c r="C71" s="496" t="str">
        <f>'[2]UPGRADES - BYRON RANGE'!$B$60</f>
        <v>Newington front door</v>
      </c>
      <c r="D71" s="362">
        <f>'[2]UPGRADES - BYRON RANGE'!$M$60</f>
        <v>300</v>
      </c>
    </row>
    <row r="72" spans="3:4">
      <c r="C72" s="496" t="str">
        <f>'[2]UPGRADES - BYRON RANGE'!$B$61</f>
        <v>Nexion front door handle</v>
      </c>
      <c r="D72" s="362">
        <f>'[2]UPGRADES - BYRON RANGE'!$M$61</f>
        <v>175</v>
      </c>
    </row>
    <row r="73" spans="3:4">
      <c r="C73" s="496" t="str">
        <f>'[2]UPGRADES - BYRON RANGE'!$B$62</f>
        <v>Brick Upgrade</v>
      </c>
      <c r="D73" s="362">
        <f>'[2]UPGRADES - BYRON RANGE'!$M$62</f>
        <v>720</v>
      </c>
    </row>
    <row r="75" spans="3:4">
      <c r="C75" s="18" t="s">
        <v>1121</v>
      </c>
    </row>
    <row r="76" spans="3:4">
      <c r="C76" s="496" t="str">
        <f>'[2]UPGRADES - BYRON RANGE'!$B$64</f>
        <v>Internal door pack - WIR, WIP &amp; rear hallway</v>
      </c>
      <c r="D76" s="362">
        <f>'[2]UPGRADES - BYRON RANGE'!$M$64</f>
        <v>660</v>
      </c>
    </row>
    <row r="77" spans="3:4">
      <c r="C77" s="496" t="str">
        <f>'[2]UPGRADES - BYRON RANGE'!$B$65</f>
        <v>2340mm high internal doors &amp; robe/linen doors - (2550mm Cielings Required)</v>
      </c>
      <c r="D77" s="497">
        <f>'[2]UPGRADES - BYRON RANGE'!$M$65</f>
        <v>1200</v>
      </c>
    </row>
    <row r="78" spans="3:4">
      <c r="C78" s="496" t="str">
        <f>'[2]UPGRADES - BYRON RANGE'!$B$66</f>
        <v>Single roller blinds</v>
      </c>
      <c r="D78" s="497">
        <f>'[2]UPGRADES - BYRON RANGE'!$M$66</f>
        <v>2780</v>
      </c>
    </row>
    <row r="80" spans="3:4">
      <c r="C80" s="18" t="s">
        <v>509</v>
      </c>
    </row>
    <row r="81" spans="3:4">
      <c r="C81" s="233" t="s">
        <v>1153</v>
      </c>
      <c r="D81" s="362">
        <f>'[2]UPGRADES - BYRON RANGE'!$M$68</f>
        <v>50</v>
      </c>
    </row>
    <row r="82" spans="3:4">
      <c r="C82" s="233" t="s">
        <v>1154</v>
      </c>
      <c r="D82" s="362">
        <f>'[2]UPGRADES - BYRON RANGE'!$M$68*2</f>
        <v>100</v>
      </c>
    </row>
    <row r="83" spans="3:4">
      <c r="C83" s="233" t="s">
        <v>1155</v>
      </c>
      <c r="D83" s="362">
        <f>'[2]UPGRADES - BYRON RANGE'!$M$68*3</f>
        <v>150</v>
      </c>
    </row>
    <row r="84" spans="3:4">
      <c r="C84" s="233" t="s">
        <v>1156</v>
      </c>
      <c r="D84" s="362">
        <f>'[2]UPGRADES - BYRON RANGE'!$M$68*2</f>
        <v>100</v>
      </c>
    </row>
    <row r="85" spans="3:4">
      <c r="C85" s="233" t="s">
        <v>1157</v>
      </c>
      <c r="D85" s="362">
        <f>'[2]UPGRADES - BYRON RANGE'!$M$68*4</f>
        <v>200</v>
      </c>
    </row>
    <row r="86" spans="3:4">
      <c r="C86" s="233" t="s">
        <v>1158</v>
      </c>
      <c r="D86" s="362">
        <f>'[2]UPGRADES - BYRON RANGE'!$M$68*6</f>
        <v>300</v>
      </c>
    </row>
    <row r="87" spans="3:4">
      <c r="C87" s="233" t="s">
        <v>1159</v>
      </c>
      <c r="D87" s="362">
        <f>'[2]UPGRADES - BYRON RANGE'!$M$69</f>
        <v>185</v>
      </c>
    </row>
    <row r="88" spans="3:4">
      <c r="C88" s="233" t="s">
        <v>1171</v>
      </c>
      <c r="D88" s="362">
        <f>'[2]UPGRADES - BYRON RANGE'!$M$69*2</f>
        <v>370</v>
      </c>
    </row>
    <row r="89" spans="3:4">
      <c r="C89" s="233" t="s">
        <v>1172</v>
      </c>
      <c r="D89" s="362">
        <f>'[2]UPGRADES - BYRON RANGE'!$M$69*3</f>
        <v>555</v>
      </c>
    </row>
    <row r="90" spans="3:4">
      <c r="C90" s="233" t="s">
        <v>1173</v>
      </c>
      <c r="D90" s="362">
        <f>'[2]UPGRADES - BYRON RANGE'!$M$69*4</f>
        <v>740</v>
      </c>
    </row>
    <row r="91" spans="3:4">
      <c r="C91" s="233" t="s">
        <v>1174</v>
      </c>
      <c r="D91" s="362">
        <f>'[2]UPGRADES - BYRON RANGE'!$M$69*5</f>
        <v>925</v>
      </c>
    </row>
    <row r="92" spans="3:4">
      <c r="C92" s="233" t="s">
        <v>1175</v>
      </c>
      <c r="D92" s="362">
        <f>'[2]UPGRADES - BYRON RANGE'!$M$69*6</f>
        <v>1110</v>
      </c>
    </row>
    <row r="93" spans="3:4">
      <c r="C93" s="233" t="s">
        <v>1165</v>
      </c>
      <c r="D93" s="362">
        <f>'[2]UPGRADES - BYRON RANGE'!$M$70</f>
        <v>510</v>
      </c>
    </row>
    <row r="94" spans="3:4">
      <c r="C94" s="233" t="s">
        <v>1176</v>
      </c>
      <c r="D94" s="362">
        <f>'[2]UPGRADES - BYRON RANGE'!$M$70*2</f>
        <v>1020</v>
      </c>
    </row>
    <row r="95" spans="3:4">
      <c r="C95" s="233" t="s">
        <v>1177</v>
      </c>
      <c r="D95" s="362">
        <f>'[2]UPGRADES - BYRON RANGE'!$M$70*3</f>
        <v>1530</v>
      </c>
    </row>
    <row r="96" spans="3:4">
      <c r="C96" s="233" t="s">
        <v>1178</v>
      </c>
      <c r="D96" s="362">
        <f>'[2]UPGRADES - BYRON RANGE'!$M$70*4</f>
        <v>2040</v>
      </c>
    </row>
    <row r="97" spans="3:4">
      <c r="C97" s="233" t="s">
        <v>1179</v>
      </c>
      <c r="D97" s="362">
        <f>'[2]UPGRADES - BYRON RANGE'!$M$70*5</f>
        <v>2550</v>
      </c>
    </row>
    <row r="98" spans="3:4">
      <c r="C98" s="233" t="s">
        <v>1180</v>
      </c>
      <c r="D98" s="362">
        <f>'[2]UPGRADES - BYRON RANGE'!$M$70*6</f>
        <v>3060</v>
      </c>
    </row>
    <row r="100" spans="3:4">
      <c r="C100" s="18" t="s">
        <v>1123</v>
      </c>
    </row>
    <row r="101" spans="3:4">
      <c r="C101" s="496" t="str">
        <f>'[2]UPGRADES - BYRON RANGE'!$B$72</f>
        <v>600mm stainless steel oven &amp; canopy rangehood and electric cooktop</v>
      </c>
      <c r="D101" s="362">
        <f>'[2]UPGRADES - BYRON RANGE'!$M$72</f>
        <v>365</v>
      </c>
    </row>
    <row r="102" spans="3:4">
      <c r="C102" s="496" t="str">
        <f>'[2]UPGRADES - BYRON RANGE'!$B$73</f>
        <v>900mm black inbuilt oven, cooktop &amp; canopy rangehood</v>
      </c>
      <c r="D102" s="362">
        <f>'[2]UPGRADES - BYRON RANGE'!$M$73</f>
        <v>1870</v>
      </c>
    </row>
    <row r="103" spans="3:4">
      <c r="C103" s="496" t="str">
        <f>'[2]UPGRADES - BYRON RANGE'!$B$74</f>
        <v>900mm stainless steel inbuilt oven, cooktop &amp; canopy rangehood</v>
      </c>
      <c r="D103" s="362">
        <f>'[2]UPGRADES - BYRON RANGE'!$M$74</f>
        <v>1860</v>
      </c>
    </row>
    <row r="104" spans="3:4">
      <c r="C104" s="496" t="str">
        <f>'[2]UPGRADES - BYRON RANGE'!$B$75</f>
        <v>900mm black undermount rangehood in lieu of canopy</v>
      </c>
      <c r="D104" s="362">
        <f>'[2]UPGRADES - BYRON RANGE'!$M$75</f>
        <v>800</v>
      </c>
    </row>
    <row r="105" spans="3:4">
      <c r="C105" s="496" t="str">
        <f>'[2]UPGRADES - BYRON RANGE'!$B$76</f>
        <v>900mm stainless steel undermount rangehood in lieu of canopy</v>
      </c>
      <c r="D105" s="362">
        <f>'[2]UPGRADES - BYRON RANGE'!$M$76</f>
        <v>770</v>
      </c>
    </row>
    <row r="106" spans="3:4">
      <c r="C106" s="496" t="str">
        <f>'[2]UPGRADES - BYRON RANGE'!$B$77</f>
        <v>Stainless steel dishwasher</v>
      </c>
      <c r="D106" s="362">
        <f>'[2]UPGRADES - BYRON RANGE'!$M$77</f>
        <v>700</v>
      </c>
    </row>
    <row r="107" spans="3:4">
      <c r="C107" s="496" t="str">
        <f>'[2]UPGRADES - BYRON RANGE'!$B$78</f>
        <v>Black dishwasher</v>
      </c>
      <c r="D107" s="362">
        <f>'[2]UPGRADES - BYRON RANGE'!$M$78</f>
        <v>750</v>
      </c>
    </row>
    <row r="108" spans="3:4">
      <c r="C108" s="496" t="str">
        <f>'[2]UPGRADES - BYRON RANGE'!$B$79</f>
        <v>Cold water point for fridge</v>
      </c>
      <c r="D108" s="362">
        <f>'[2]UPGRADES - BYRON RANGE'!$M$79</f>
        <v>200</v>
      </c>
    </row>
    <row r="109" spans="3:4">
      <c r="C109" s="233" t="s">
        <v>1183</v>
      </c>
      <c r="D109" s="362">
        <f>'[2]UPGRADES - BYRON RANGE'!$M$80</f>
        <v>350</v>
      </c>
    </row>
    <row r="110" spans="3:4">
      <c r="C110" s="233" t="s">
        <v>1184</v>
      </c>
      <c r="D110" s="362">
        <f>'[2]UPGRADES - BYRON RANGE'!$M$80*2</f>
        <v>700</v>
      </c>
    </row>
    <row r="111" spans="3:4">
      <c r="C111" s="233" t="s">
        <v>1185</v>
      </c>
      <c r="D111" s="362">
        <f>'[2]UPGRADES - BYRON RANGE'!$M$80*3</f>
        <v>1050</v>
      </c>
    </row>
    <row r="112" spans="3:4">
      <c r="C112" s="233" t="s">
        <v>1186</v>
      </c>
      <c r="D112" s="362">
        <f>'[2]UPGRADES - BYRON RANGE'!$M$80*4</f>
        <v>1400</v>
      </c>
    </row>
    <row r="113" spans="3:4">
      <c r="C113" s="233" t="s">
        <v>1187</v>
      </c>
      <c r="D113" s="362">
        <f>'[2]UPGRADES - BYRON RANGE'!$M$80*5</f>
        <v>1750</v>
      </c>
    </row>
    <row r="114" spans="3:4">
      <c r="C114" s="496" t="str">
        <f>'[2]UPGRADES - BYRON RANGE'!$B$81</f>
        <v>Upgrade cabinetry handles - (Catergory 2)</v>
      </c>
      <c r="D114" s="362">
        <f>'[2]UPGRADES - BYRON RANGE'!$M$81</f>
        <v>150</v>
      </c>
    </row>
    <row r="115" spans="3:4">
      <c r="C115" s="496" t="str">
        <f>'[2]UPGRADES - BYRON RANGE'!$B$82</f>
        <v xml:space="preserve">20mm Stone benchtops- Standard </v>
      </c>
      <c r="D115" s="362">
        <f>'[2]UPGRADES - BYRON RANGE'!$M$82</f>
        <v>2980</v>
      </c>
    </row>
    <row r="116" spans="3:4">
      <c r="C116" s="496" t="str">
        <f>'[2]UPGRADES - BYRON RANGE'!$B$83</f>
        <v>20mm Stone benchtops - The Entertainers Kitchen</v>
      </c>
      <c r="D116" s="362">
        <f>'[2]UPGRADES - BYRON RANGE'!$M$83</f>
        <v>3650</v>
      </c>
    </row>
    <row r="117" spans="3:4">
      <c r="C117" s="496" t="str">
        <f>'[2]UPGRADES - BYRON RANGE'!$B$84</f>
        <v>20mm Stone benchtops - The Modern Chef Kitchen</v>
      </c>
      <c r="D117" s="362">
        <f>'[2]UPGRADES - BYRON RANGE'!$M$84</f>
        <v>4175</v>
      </c>
    </row>
    <row r="118" spans="3:4">
      <c r="C118" s="496" t="str">
        <f>'[2]UPGRADES - BYRON RANGE'!$B$85</f>
        <v>20mm Stone waterfall ends</v>
      </c>
      <c r="D118" s="362">
        <f>'[2]UPGRADES - BYRON RANGE'!$M$85</f>
        <v>1480</v>
      </c>
    </row>
    <row r="119" spans="3:4">
      <c r="C119" s="496" t="str">
        <f>'[2]UPGRADES - BYRON RANGE'!$B$86</f>
        <v xml:space="preserve">40mm Stone benchtops- Standard </v>
      </c>
      <c r="D119" s="362">
        <f>'[2]UPGRADES - BYRON RANGE'!$M$86</f>
        <v>3800</v>
      </c>
    </row>
    <row r="120" spans="3:4">
      <c r="C120" s="496" t="str">
        <f>'[2]UPGRADES - BYRON RANGE'!$B$87</f>
        <v>40mm Stone benchtops- The Entertainers Kitchen</v>
      </c>
      <c r="D120" s="362">
        <f>'[2]UPGRADES - BYRON RANGE'!$M$87</f>
        <v>4660</v>
      </c>
    </row>
    <row r="121" spans="3:4">
      <c r="C121" s="496" t="str">
        <f>'[2]UPGRADES - BYRON RANGE'!$B$88</f>
        <v>40mm Stone benchtops - The Modern Chef Kitchen</v>
      </c>
      <c r="D121" s="362">
        <f>'[2]UPGRADES - BYRON RANGE'!$M$88</f>
        <v>5360</v>
      </c>
    </row>
    <row r="122" spans="3:4">
      <c r="C122" s="496" t="str">
        <f>'[2]UPGRADES - BYRON RANGE'!$B$89</f>
        <v>40mm Stone waterfall ends</v>
      </c>
      <c r="D122" s="362">
        <f>'[2]UPGRADES - BYRON RANGE'!$M$89</f>
        <v>1720</v>
      </c>
    </row>
    <row r="123" spans="3:4">
      <c r="C123" s="496" t="str">
        <f>'[2]UPGRADES - BYRON RANGE'!$B$90</f>
        <v>Double bowl sink</v>
      </c>
      <c r="D123" s="362">
        <f>'[2]UPGRADES - BYRON RANGE'!$M$90</f>
        <v>350</v>
      </c>
    </row>
    <row r="124" spans="3:4">
      <c r="C124" s="496" t="str">
        <f>'[2]UPGRADES - BYRON RANGE'!$B$91</f>
        <v>Upgrade vegie kitchen mixer in chrome</v>
      </c>
      <c r="D124" s="362">
        <f>'[2]UPGRADES - BYRON RANGE'!$M$91</f>
        <v>120</v>
      </c>
    </row>
    <row r="125" spans="3:4">
      <c r="C125" s="496" t="str">
        <f>'[2]UPGRADES - BYRON RANGE'!$B$92</f>
        <v>Upgrade vegie kitchen mixer in black</v>
      </c>
      <c r="D125" s="362">
        <f>'[2]UPGRADES - BYRON RANGE'!$M$92</f>
        <v>130</v>
      </c>
    </row>
    <row r="127" spans="3:4">
      <c r="C127" s="18" t="s">
        <v>1117</v>
      </c>
    </row>
    <row r="128" spans="3:4">
      <c r="C128" s="496" t="str">
        <f>'[2]UPGRADES - BYRON RANGE'!$B$94</f>
        <v>20mm Stone benchtops</v>
      </c>
      <c r="D128" s="362">
        <f>'[2]UPGRADES - BYRON RANGE'!$M$94</f>
        <v>900</v>
      </c>
    </row>
    <row r="129" spans="3:4">
      <c r="C129" s="496" t="str">
        <f>'[2]UPGRADES - BYRON RANGE'!$B$95</f>
        <v>Dual shower heads</v>
      </c>
      <c r="D129" s="362">
        <f>'[2]UPGRADES - BYRON RANGE'!$M$95</f>
        <v>440</v>
      </c>
    </row>
    <row r="130" spans="3:4">
      <c r="C130" s="496" t="str">
        <f>'[2]UPGRADES - BYRON RANGE'!$B$96</f>
        <v>Additional towel rails</v>
      </c>
      <c r="D130" s="362">
        <f>'[2]UPGRADES - BYRON RANGE'!$M$96</f>
        <v>160</v>
      </c>
    </row>
    <row r="131" spans="3:4">
      <c r="C131" s="496" t="str">
        <f>'[2]UPGRADES - BYRON RANGE'!$B$97</f>
        <v>Upgrade tapware and accessories to Winton in chrome</v>
      </c>
      <c r="D131" s="362">
        <f>'[2]UPGRADES - BYRON RANGE'!$M$97</f>
        <v>630</v>
      </c>
    </row>
    <row r="132" spans="3:4">
      <c r="C132" s="496" t="str">
        <f>'[2]UPGRADES - BYRON RANGE'!$B$98</f>
        <v>Upgrade tapware and accessories to Winton in black</v>
      </c>
      <c r="D132" s="362">
        <f>'[2]UPGRADES - BYRON RANGE'!$M$98</f>
        <v>700</v>
      </c>
    </row>
    <row r="133" spans="3:4">
      <c r="C133" s="496" t="str">
        <f>'[2]UPGRADES - BYRON RANGE'!$B$99</f>
        <v>Upgrade vanity basins</v>
      </c>
      <c r="D133" s="362">
        <f>'[2]UPGRADES - BYRON RANGE'!$M$99</f>
        <v>300</v>
      </c>
    </row>
    <row r="134" spans="3:4">
      <c r="C134" s="496" t="str">
        <f>'[2]UPGRADES - BYRON RANGE'!$B$100</f>
        <v>Upgrade cabinetry handles including laundry - (Catergory 2)</v>
      </c>
      <c r="D134" s="362">
        <f>'[2]UPGRADES - BYRON RANGE'!$M$100</f>
        <v>105</v>
      </c>
    </row>
    <row r="136" spans="3:4">
      <c r="C136" s="18" t="s">
        <v>506</v>
      </c>
    </row>
    <row r="137" spans="3:4">
      <c r="C137" s="496" t="str">
        <f>'[2]UPGRADES - BYRON RANGE'!$B$105</f>
        <v>Downlight Pack 1: Entry &amp; Family room</v>
      </c>
      <c r="D137" s="497">
        <f>'[2]UPGRADES - BYRON RANGE'!$M$105</f>
        <v>1320</v>
      </c>
    </row>
    <row r="138" spans="3:4">
      <c r="C138" s="496" t="str">
        <f>'[2]UPGRADES - BYRON RANGE'!$B$106</f>
        <v>Downlight Pack 2: Whole home</v>
      </c>
      <c r="D138" s="497">
        <f>'[2]UPGRADES - BYRON RANGE'!$M$106</f>
        <v>2150</v>
      </c>
    </row>
    <row r="139" spans="3:4">
      <c r="C139" s="496" t="str">
        <f>'[2]UPGRADES - BYRON RANGE'!$B$107</f>
        <v>External Pack 1: Downlights to porch &amp; front eave</v>
      </c>
      <c r="D139" s="362">
        <f>'[2]UPGRADES - BYRON RANGE'!$M$107</f>
        <v>160</v>
      </c>
    </row>
    <row r="140" spans="3:4">
      <c r="C140" s="496" t="str">
        <f>'[2]UPGRADES - BYRON RANGE'!$B$108</f>
        <v>External Pack 2: 2 x Up/down lights, 2 downlights to outdoor living &amp; 2 floodlights</v>
      </c>
      <c r="D140" s="362">
        <f>'[2]UPGRADES - BYRON RANGE'!$M$108</f>
        <v>1070</v>
      </c>
    </row>
    <row r="141" spans="3:4">
      <c r="C141" s="496" t="str">
        <f>'[2]UPGRADES - BYRON RANGE'!$B$109</f>
        <v>Pendant Pack: 3 Pendants to island bench</v>
      </c>
      <c r="D141" s="362">
        <f>'[2]UPGRADES - BYRON RANGE'!$M$109</f>
        <v>1160</v>
      </c>
    </row>
    <row r="142" spans="3:4">
      <c r="C142" s="496" t="str">
        <f>'[2]UPGRADES - BYRON RANGE'!$B$110</f>
        <v>Fan Pack 1: Ceiling fans to all bedrooms</v>
      </c>
      <c r="D142" s="497">
        <f>'[2]UPGRADES - BYRON RANGE'!$M$110</f>
        <v>2300</v>
      </c>
    </row>
    <row r="143" spans="3:4">
      <c r="C143" s="496" t="str">
        <f>'[2]UPGRADES - BYRON RANGE'!$B$111</f>
        <v>Fan Pack 2: Ceiling fans to living areas</v>
      </c>
      <c r="D143" s="362">
        <f>'[2]UPGRADES - BYRON RANGE'!$M$111</f>
        <v>930</v>
      </c>
    </row>
    <row r="144" spans="3:4">
      <c r="C144" s="496" t="str">
        <f>'[2]UPGRADES - BYRON RANGE'!$B$112</f>
        <v>Fan Pack 3: Ceiling fan to outdoor living</v>
      </c>
      <c r="D144" s="362">
        <f>'[2]UPGRADES - BYRON RANGE'!$M$112</f>
        <v>470</v>
      </c>
    </row>
    <row r="145" spans="3:4">
      <c r="C145" s="496" t="str">
        <f>'[2]UPGRADES - BYRON RANGE'!$B$113</f>
        <v>TV antenna</v>
      </c>
      <c r="D145" s="362">
        <f>'[2]UPGRADES - BYRON RANGE'!$M$113</f>
        <v>590</v>
      </c>
    </row>
    <row r="146" spans="3:4">
      <c r="C146" s="496" t="str">
        <f>'[2]UPGRADES - BYRON RANGE'!$B$114</f>
        <v>TV Pack: 2 x TV points &amp; 2 x double powerpoints</v>
      </c>
      <c r="D146" s="362">
        <f>'[2]UPGRADES - BYRON RANGE'!$M$114</f>
        <v>340</v>
      </c>
    </row>
    <row r="147" spans="3:4">
      <c r="C147" s="496" t="str">
        <f>'[2]UPGRADES - BYRON RANGE'!$B$115</f>
        <v>Powerpoint Pack 1: 5 x Double powerpoints</v>
      </c>
      <c r="D147" s="362">
        <f>'[2]UPGRADES - BYRON RANGE'!$M$115</f>
        <v>430</v>
      </c>
    </row>
    <row r="148" spans="3:4">
      <c r="C148" s="496" t="str">
        <f>'[2]UPGRADES - BYRON RANGE'!$B$116</f>
        <v>Powerpoint Pack 2: 10 x Double powerpoints</v>
      </c>
      <c r="D148" s="362">
        <f>'[2]UPGRADES - BYRON RANGE'!$M$116</f>
        <v>850</v>
      </c>
    </row>
    <row r="150" spans="3:4">
      <c r="C150" s="18" t="s">
        <v>1124</v>
      </c>
    </row>
    <row r="151" spans="3:4">
      <c r="C151" s="496" t="str">
        <f>'[2]UPGRADES - BYRON RANGE'!$B$102</f>
        <v>1 x Additional split system - (3.5kw)</v>
      </c>
      <c r="D151" s="362">
        <f>'[2]UPGRADES - BYRON RANGE'!$M$102</f>
        <v>3200</v>
      </c>
    </row>
    <row r="152" spans="3:4">
      <c r="C152" s="233" t="s">
        <v>1188</v>
      </c>
      <c r="D152" s="362">
        <f>'[2]UPGRADES - BYRON RANGE'!$M$102*2</f>
        <v>6400</v>
      </c>
    </row>
    <row r="153" spans="3:4">
      <c r="C153" s="233" t="s">
        <v>1189</v>
      </c>
      <c r="D153" s="362">
        <f>'[2]UPGRADES - BYRON RANGE'!$M$102*3</f>
        <v>9600</v>
      </c>
    </row>
    <row r="154" spans="3:4">
      <c r="C154" s="233" t="s">
        <v>1190</v>
      </c>
      <c r="D154" s="362">
        <f>'[2]UPGRADES - BYRON RANGE'!$M$102*4</f>
        <v>12800</v>
      </c>
    </row>
    <row r="155" spans="3:4">
      <c r="C155" s="496" t="str">
        <f>'[2]UPGRADES - BYRON RANGE'!$B$103</f>
        <v>Upgrade to reverse cycle ducted system</v>
      </c>
      <c r="D155" s="497">
        <f>'[2]UPGRADES - BYRON RANGE'!$M$103</f>
        <v>11200</v>
      </c>
    </row>
    <row r="157" spans="3:4">
      <c r="C157" s="18" t="s">
        <v>1125</v>
      </c>
    </row>
    <row r="158" spans="3:4">
      <c r="C158" s="496" t="str">
        <f>'[2]UPGRADES - BYRON RANGE'!$B$118</f>
        <v>Upgrade carpet</v>
      </c>
      <c r="D158" s="362">
        <f>'[2]UPGRADES - BYRON RANGE'!$M$118</f>
        <v>450</v>
      </c>
    </row>
    <row r="159" spans="3:4">
      <c r="C159" s="496" t="str">
        <f>'[2]UPGRADES - BYRON RANGE'!$B$119</f>
        <v>Upgrade tiles to wet area floor &amp; walls</v>
      </c>
      <c r="D159" s="362">
        <f>'[2]UPGRADES - BYRON RANGE'!$M$119</f>
        <v>600</v>
      </c>
    </row>
    <row r="160" spans="3:4">
      <c r="C160" s="496" t="str">
        <f>'[2]UPGRADES - BYRON RANGE'!$B$120</f>
        <v>Upgrade tiles to main area floors</v>
      </c>
      <c r="D160" s="362">
        <f>'[2]UPGRADES - BYRON RANGE'!$M$120</f>
        <v>1500</v>
      </c>
    </row>
    <row r="161" spans="3:6">
      <c r="C161" s="496" t="str">
        <f>'[2]UPGRADES - BYRON RANGE'!$B$121</f>
        <v>Upgrade tiles to kitchen &amp; laundry splashback</v>
      </c>
      <c r="D161" s="362">
        <f>'[2]UPGRADES - BYRON RANGE'!$M$121</f>
        <v>300</v>
      </c>
      <c r="F161" t="s">
        <v>1126</v>
      </c>
    </row>
    <row r="162" spans="3:6">
      <c r="C162" s="233" t="s">
        <v>1194</v>
      </c>
      <c r="D162" s="362">
        <f>'[2]UPGRADES - BYRON RANGE'!$M$121+100</f>
        <v>400</v>
      </c>
    </row>
    <row r="163" spans="3:6">
      <c r="C163" s="233" t="s">
        <v>1193</v>
      </c>
      <c r="D163" s="362">
        <f>'[2]UPGRADES - BYRON RANGE'!$M$121+200</f>
        <v>500</v>
      </c>
    </row>
    <row r="164" spans="3:6">
      <c r="C164" s="496" t="str">
        <f>'[2]UPGRADES - BYRON RANGE'!$B$122</f>
        <v>Upgrade to vinyl - (Wet Area's to be Tiles)</v>
      </c>
      <c r="D164" s="497">
        <f>'[2]UPGRADES - BYRON RANGE'!$M$122</f>
        <v>4200</v>
      </c>
    </row>
  </sheetData>
  <phoneticPr fontId="46"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3CE5-C549-420F-A298-8FD382F1223B}">
  <dimension ref="C3:F164"/>
  <sheetViews>
    <sheetView topLeftCell="A95" workbookViewId="0">
      <selection activeCell="J66" sqref="J66"/>
    </sheetView>
  </sheetViews>
  <sheetFormatPr defaultRowHeight="14.4"/>
  <cols>
    <col min="3" max="3" width="63.88671875" customWidth="1"/>
    <col min="4" max="4" width="11.33203125" style="361" bestFit="1" customWidth="1"/>
  </cols>
  <sheetData>
    <row r="3" spans="3:4">
      <c r="C3" s="18" t="s">
        <v>1112</v>
      </c>
    </row>
    <row r="4" spans="3:4">
      <c r="C4" s="496" t="str">
        <f>'[2]UPGRADES - BYRON RANGE'!$B$6</f>
        <v>Extend garage by 500mm</v>
      </c>
      <c r="D4" s="362">
        <f>'[2]UPGRADES - BYRON RANGE'!$N$6</f>
        <v>2500</v>
      </c>
    </row>
    <row r="5" spans="3:4">
      <c r="C5" s="496" t="str">
        <f>'[2]UPGRADES - BYRON RANGE'!$B$7</f>
        <v>Extend garage by 1000mm</v>
      </c>
      <c r="D5" s="362">
        <f>'[2]UPGRADES - BYRON RANGE'!$N$7</f>
        <v>5000</v>
      </c>
    </row>
    <row r="6" spans="3:4">
      <c r="C6" s="496" t="str">
        <f>'[2]UPGRADES - BYRON RANGE'!$B$8</f>
        <v>Outdoor Living - addition 1</v>
      </c>
      <c r="D6" s="497">
        <f>'[2]UPGRADES - BYRON RANGE'!$N$8</f>
        <v>4050</v>
      </c>
    </row>
    <row r="7" spans="3:4">
      <c r="C7" s="496" t="str">
        <f>'[2]UPGRADES - BYRON RANGE'!$B$9</f>
        <v>Outdoor Living - brick pier in lieu of steel post</v>
      </c>
      <c r="D7" s="362">
        <f>'[2]UPGRADES - BYRON RANGE'!$N$9</f>
        <v>400</v>
      </c>
    </row>
    <row r="8" spans="3:4">
      <c r="C8" s="496" t="str">
        <f>'[2]UPGRADES - BYRON RANGE'!$B$10</f>
        <v xml:space="preserve">Additional concrete - outdoor living </v>
      </c>
      <c r="D8" s="497">
        <f>'[2]UPGRADES - BYRON RANGE'!$N$10</f>
        <v>1400</v>
      </c>
    </row>
    <row r="9" spans="3:4">
      <c r="C9" s="496" t="str">
        <f>'[2]UPGRADES - BYRON RANGE'!$B$11</f>
        <v>Outdoor Living - addition 2</v>
      </c>
      <c r="D9" s="362">
        <f>'[2]UPGRADES - BYRON RANGE'!$N$11</f>
        <v>7250</v>
      </c>
    </row>
    <row r="10" spans="3:4">
      <c r="C10" s="496" t="str">
        <f>'[2]UPGRADES - BYRON RANGE'!$B$12</f>
        <v>Outdoor Living - brick pier in lieu of steel post</v>
      </c>
      <c r="D10" s="362">
        <f>'[2]UPGRADES - BYRON RANGE'!$N$12</f>
        <v>800</v>
      </c>
    </row>
    <row r="11" spans="3:4">
      <c r="C11" s="496" t="str">
        <f>'[2]UPGRADES - BYRON RANGE'!$B$13</f>
        <v xml:space="preserve">Additional concrete- Outdoor living </v>
      </c>
      <c r="D11" s="362">
        <f>'[2]UPGRADES - BYRON RANGE'!$N$13</f>
        <v>2520</v>
      </c>
    </row>
    <row r="12" spans="3:4">
      <c r="C12" s="496" t="str">
        <f>'[2]UPGRADES - BYRON RANGE'!$B$14</f>
        <v>Kitchen - The Entertainers Kitchen</v>
      </c>
      <c r="D12" s="362">
        <f>'[2]UPGRADES - BYRON RANGE'!$N$14</f>
        <v>900</v>
      </c>
    </row>
    <row r="13" spans="3:4">
      <c r="C13" s="496" t="str">
        <f>'[2]UPGRADES - BYRON RANGE'!$B$15</f>
        <v>Kitchen - The Modern Chef Kitchen</v>
      </c>
      <c r="D13" s="362">
        <f>'[2]UPGRADES - BYRON RANGE'!$N$15</f>
        <v>4100</v>
      </c>
    </row>
    <row r="14" spans="3:4">
      <c r="C14" s="496" t="str">
        <f>'[2]UPGRADES - BYRON RANGE'!$B$16</f>
        <v>Ensuite - The Signature Ensuite</v>
      </c>
      <c r="D14" s="362">
        <f>'[2]UPGRADES - BYRON RANGE'!$N$16</f>
        <v>750</v>
      </c>
    </row>
    <row r="15" spans="3:4">
      <c r="C15" s="496" t="str">
        <f>'[2]UPGRADES - BYRON RANGE'!$B$17</f>
        <v>Ensuite - The Indulgence Ensuite</v>
      </c>
      <c r="D15" s="362">
        <f>'[2]UPGRADES - BYRON RANGE'!$N$17</f>
        <v>3280</v>
      </c>
    </row>
    <row r="17" spans="3:4">
      <c r="C17" s="18" t="s">
        <v>1113</v>
      </c>
    </row>
    <row r="18" spans="3:4">
      <c r="C18" s="233" t="s">
        <v>1114</v>
      </c>
      <c r="D18" s="498" t="s">
        <v>267</v>
      </c>
    </row>
    <row r="19" spans="3:4">
      <c r="C19" s="496" t="str">
        <f>'[2]UPGRADES - BYRON RANGE'!$B$19</f>
        <v>1 The Retreat Façade</v>
      </c>
      <c r="D19" s="362">
        <f>'[2]UPGRADES - BYRON RANGE'!$N$19</f>
        <v>3300</v>
      </c>
    </row>
    <row r="20" spans="3:4">
      <c r="C20" s="496" t="str">
        <f>'[2]UPGRADES - BYRON RANGE'!$B$20</f>
        <v>2 The Rise Façade</v>
      </c>
      <c r="D20" s="362">
        <f>'[2]UPGRADES - BYRON RANGE'!$N$20</f>
        <v>7300</v>
      </c>
    </row>
    <row r="21" spans="3:4">
      <c r="C21" s="496" t="str">
        <f>'[2]UPGRADES - BYRON RANGE'!$B$21</f>
        <v>3 The Escape Façade</v>
      </c>
      <c r="D21" s="362">
        <f>'[2]UPGRADES - BYRON RANGE'!$N$21</f>
        <v>8950</v>
      </c>
    </row>
    <row r="22" spans="3:4">
      <c r="C22" s="496" t="str">
        <f>'[2]UPGRADES - BYRON RANGE'!$B$22</f>
        <v>4 The Essence Façade</v>
      </c>
      <c r="D22" s="362">
        <f>'[2]UPGRADES - BYRON RANGE'!$N$22</f>
        <v>6500</v>
      </c>
    </row>
    <row r="23" spans="3:4">
      <c r="C23" s="496" t="str">
        <f>'[2]UPGRADES - BYRON RANGE'!$B$23</f>
        <v>5 The Sanctuary Façade</v>
      </c>
      <c r="D23" s="362">
        <f>'[2]UPGRADES - BYRON RANGE'!$N$23</f>
        <v>9050</v>
      </c>
    </row>
    <row r="24" spans="3:4">
      <c r="C24" s="496" t="str">
        <f>'[2]UPGRADES - BYRON RANGE'!$B$24</f>
        <v>6. The Summit Façade</v>
      </c>
      <c r="D24" s="362">
        <f>'[2]UPGRADES - BYRON RANGE'!$N$24</f>
        <v>8500</v>
      </c>
    </row>
    <row r="25" spans="3:4">
      <c r="C25" s="496" t="str">
        <f>'[2]UPGRADES - BYRON RANGE'!$B$25</f>
        <v>7. The Haven Facade</v>
      </c>
      <c r="D25" s="362">
        <f>'[2]UPGRADES - BYRON RANGE'!$N$25</f>
        <v>8500</v>
      </c>
    </row>
    <row r="26" spans="3:4">
      <c r="C26" s="496" t="str">
        <f>'[2]UPGRADES - BYRON RANGE'!$B$26</f>
        <v>9. The Horizon Façade</v>
      </c>
      <c r="D26" s="362">
        <f>'[2]UPGRADES - BYRON RANGE'!$N$26</f>
        <v>10500</v>
      </c>
    </row>
    <row r="28" spans="3:4">
      <c r="C28" s="18" t="s">
        <v>1115</v>
      </c>
    </row>
    <row r="29" spans="3:4">
      <c r="C29" s="18" t="s">
        <v>1116</v>
      </c>
    </row>
    <row r="30" spans="3:4">
      <c r="C30" s="496" t="str">
        <f>'[2]UPGRADES - BYRON RANGE'!$B$29</f>
        <v>600mm overhead either side of rangehood</v>
      </c>
      <c r="D30" s="362">
        <f>'[2]UPGRADES - BYRON RANGE'!$N$29</f>
        <v>990</v>
      </c>
    </row>
    <row r="31" spans="3:4">
      <c r="C31" s="496" t="str">
        <f>'[2]UPGRADES - BYRON RANGE'!$B$30</f>
        <v>Overhead cupboards with integrated rangehood</v>
      </c>
      <c r="D31" s="362">
        <f>'[2]UPGRADES - BYRON RANGE'!$N$30</f>
        <v>1650</v>
      </c>
    </row>
    <row r="32" spans="3:4">
      <c r="C32" s="496" t="str">
        <f>'[2]UPGRADES - BYRON RANGE'!$B$31</f>
        <v>Fridge overhead cupboard</v>
      </c>
      <c r="D32" s="362">
        <f>'[2]UPGRADES - BYRON RANGE'!$N$31</f>
        <v>960</v>
      </c>
    </row>
    <row r="33" spans="3:4">
      <c r="C33" s="233" t="s">
        <v>1147</v>
      </c>
      <c r="D33" s="362">
        <f>'[2]UPGRADES - BYRON RANGE'!$N$32</f>
        <v>330</v>
      </c>
    </row>
    <row r="34" spans="3:4">
      <c r="C34" s="233" t="s">
        <v>1148</v>
      </c>
      <c r="D34" s="362">
        <f>'[2]UPGRADES - BYRON RANGE'!$N$32*2</f>
        <v>660</v>
      </c>
    </row>
    <row r="35" spans="3:4">
      <c r="C35" s="233" t="s">
        <v>1149</v>
      </c>
      <c r="D35" s="362">
        <f>'[2]UPGRADES - BYRON RANGE'!$N$32*3</f>
        <v>990</v>
      </c>
    </row>
    <row r="36" spans="3:4">
      <c r="C36" s="233" t="s">
        <v>1150</v>
      </c>
      <c r="D36" s="362">
        <f>'[2]UPGRADES - BYRON RANGE'!$N$32*4</f>
        <v>1320</v>
      </c>
    </row>
    <row r="37" spans="3:4">
      <c r="C37" s="233" t="s">
        <v>1151</v>
      </c>
      <c r="D37" s="362">
        <f>'[2]UPGRADES - BYRON RANGE'!$N$32*5</f>
        <v>1650</v>
      </c>
    </row>
    <row r="38" spans="3:4">
      <c r="C38" s="496" t="str">
        <f>'[2]UPGRADES - BYRON RANGE'!$B$33</f>
        <v>Microwave cavity with drawer below</v>
      </c>
      <c r="D38" s="362">
        <f>'[2]UPGRADES - BYRON RANGE'!$N$33</f>
        <v>415</v>
      </c>
    </row>
    <row r="39" spans="3:4">
      <c r="C39" s="496" t="str">
        <f>'[2]UPGRADES - BYRON RANGE'!$B$34</f>
        <v>Twin bin with drawer below</v>
      </c>
      <c r="D39" s="362">
        <f>'[2]UPGRADES - BYRON RANGE'!$N$34</f>
        <v>250</v>
      </c>
    </row>
    <row r="40" spans="3:4">
      <c r="C40" s="496" t="str">
        <f>'[2]UPGRADES - BYRON RANGE'!$B$35</f>
        <v>1212 No Bottom Reveal Window to Kitchen Upgrade 2</v>
      </c>
      <c r="D40" s="362">
        <f>'[2]UPGRADES - BYRON RANGE'!$N$35</f>
        <v>390</v>
      </c>
    </row>
    <row r="42" spans="3:4">
      <c r="C42" s="18" t="s">
        <v>1117</v>
      </c>
    </row>
    <row r="43" spans="3:4">
      <c r="C43" s="496" t="str">
        <f>'[2]UPGRADES - BYRON RANGE'!$B$37</f>
        <v>Bank of 3 drawers to vanities</v>
      </c>
      <c r="D43" s="362">
        <f>'[2]UPGRADES - BYRON RANGE'!$N$37</f>
        <v>660</v>
      </c>
    </row>
    <row r="44" spans="3:4">
      <c r="C44" s="233" t="s">
        <v>1181</v>
      </c>
      <c r="D44" s="362">
        <f>'[2]UPGRADES - BYRON RANGE'!$N$38*2</f>
        <v>660</v>
      </c>
    </row>
    <row r="45" spans="3:4">
      <c r="C45" s="233" t="s">
        <v>1182</v>
      </c>
      <c r="D45" s="362">
        <f>'[2]UPGRADES - BYRON RANGE'!$N$38*3</f>
        <v>990</v>
      </c>
    </row>
    <row r="46" spans="3:4">
      <c r="C46" s="496" t="s">
        <v>1191</v>
      </c>
      <c r="D46" s="362">
        <f>'[2]UPGRADES - BYRON RANGE'!$N$39/2*2</f>
        <v>280</v>
      </c>
    </row>
    <row r="47" spans="3:4">
      <c r="C47" s="496" t="s">
        <v>1192</v>
      </c>
      <c r="D47" s="362">
        <f>'[2]UPGRADES - BYRON RANGE'!$N$39/2*3</f>
        <v>420</v>
      </c>
    </row>
    <row r="48" spans="3:4">
      <c r="C48" s="496" t="str">
        <f>'[2]UPGRADES - BYRON RANGE'!$B$40</f>
        <v>Tiled recess shelves</v>
      </c>
      <c r="D48" s="362">
        <f>'[2]UPGRADES - BYRON RANGE'!$N$40</f>
        <v>800</v>
      </c>
    </row>
    <row r="49" spans="3:4">
      <c r="C49" s="496" t="str">
        <f>'[2]UPGRADES - BYRON RANGE'!$B$41</f>
        <v>Extend tiles to 2.1m high on vanity wall</v>
      </c>
      <c r="D49" s="362">
        <f>'[2]UPGRADES - BYRON RANGE'!$N$41</f>
        <v>300</v>
      </c>
    </row>
    <row r="50" spans="3:4">
      <c r="C50" s="496" t="str">
        <f>'[2]UPGRADES - BYRON RANGE'!$B$42</f>
        <v>Extend tiles to 2.1m high on remaining three walls</v>
      </c>
      <c r="D50" s="362">
        <f>'[2]UPGRADES - BYRON RANGE'!$N$42</f>
        <v>1700</v>
      </c>
    </row>
    <row r="52" spans="3:4">
      <c r="C52" s="18" t="s">
        <v>1118</v>
      </c>
    </row>
    <row r="53" spans="3:4">
      <c r="C53" s="496" t="str">
        <f>'[2]UPGRADES - BYRON RANGE'!$B$44</f>
        <v>1200mm Laminate benchtop &amp; cupboards</v>
      </c>
      <c r="D53" s="362">
        <f>'[2]UPGRADES - BYRON RANGE'!$N$44</f>
        <v>1680</v>
      </c>
    </row>
    <row r="54" spans="3:4">
      <c r="C54" s="496" t="str">
        <f>'[2]UPGRADES - BYRON RANGE'!$B$45</f>
        <v>Extend laminate benchtop only by 1350mm with powerpoint</v>
      </c>
      <c r="D54" s="362">
        <f>'[2]UPGRADES - BYRON RANGE'!$N$45</f>
        <v>830</v>
      </c>
    </row>
    <row r="55" spans="3:4">
      <c r="C55" s="496" t="str">
        <f>'[2]UPGRADES - BYRON RANGE'!$B$46</f>
        <v>1200mm Overhead cupboards</v>
      </c>
      <c r="D55" s="362">
        <f>'[2]UPGRADES - BYRON RANGE'!$N$46</f>
        <v>1040</v>
      </c>
    </row>
    <row r="56" spans="3:4">
      <c r="C56" s="496" t="str">
        <f>'[2]UPGRADES - BYRON RANGE'!$B$47</f>
        <v>1350mm Overhead cupboards</v>
      </c>
      <c r="D56" s="362">
        <f>'[2]UPGRADES - BYRON RANGE'!$N$47</f>
        <v>1170</v>
      </c>
    </row>
    <row r="57" spans="3:4">
      <c r="C57" s="496" t="str">
        <f>'[2]UPGRADES - BYRON RANGE'!$B$48</f>
        <v>Hanging rail under overheads</v>
      </c>
      <c r="D57" s="362">
        <f>'[2]UPGRADES - BYRON RANGE'!$N$48</f>
        <v>300</v>
      </c>
    </row>
    <row r="58" spans="3:4">
      <c r="C58" s="496" t="str">
        <f>'[2]UPGRADES - BYRON RANGE'!$B$49</f>
        <v>Pullout laundry basket with drawer</v>
      </c>
      <c r="D58" s="362">
        <f>'[2]UPGRADES - BYRON RANGE'!$N$49</f>
        <v>235</v>
      </c>
    </row>
    <row r="60" spans="3:4">
      <c r="C60" s="18" t="s">
        <v>1214</v>
      </c>
    </row>
    <row r="61" spans="3:4">
      <c r="C61" s="496" t="str">
        <f>'[2]UPGRADES - BYRON RANGE'!$B$51</f>
        <v>Eaves to whole home</v>
      </c>
      <c r="D61" s="497">
        <f>'[2]UPGRADES - BYRON RANGE'!$N$51</f>
        <v>5100</v>
      </c>
    </row>
    <row r="62" spans="3:4">
      <c r="C62" s="496" t="str">
        <f>'[2]UPGRADES - BYRON RANGE'!$B$52</f>
        <v>Add 2100h x 2400w roller door - (2550mm Cielings Required)</v>
      </c>
      <c r="D62" s="362">
        <f>'[2]UPGRADES - BYRON RANGE'!$N$52</f>
        <v>1670</v>
      </c>
    </row>
    <row r="63" spans="3:4">
      <c r="C63" s="496" t="str">
        <f>'[2]UPGRADES - BYRON RANGE'!$B$53</f>
        <v>2550mm ceiling</v>
      </c>
      <c r="D63" s="497">
        <f>'[2]UPGRADES - BYRON RANGE'!$N$53</f>
        <v>4000</v>
      </c>
    </row>
    <row r="65" spans="3:4">
      <c r="C65" s="18" t="s">
        <v>1119</v>
      </c>
    </row>
    <row r="66" spans="3:4">
      <c r="C66" s="18" t="s">
        <v>1120</v>
      </c>
    </row>
    <row r="67" spans="3:4">
      <c r="C67" s="496" t="str">
        <f>'[2]UPGRADES - BYRON RANGE'!$B$56</f>
        <v>Double glazing to whole home (please note: all windows will be awning)</v>
      </c>
      <c r="D67" s="497">
        <f>'[2]UPGRADES - BYRON RANGE'!$N$56</f>
        <v>5500</v>
      </c>
    </row>
    <row r="68" spans="3:4">
      <c r="C68" s="496" t="str">
        <f>'[2]UPGRADES - BYRON RANGE'!$B$57</f>
        <v>Sliding door in lieu of swing</v>
      </c>
      <c r="D68" s="362">
        <f>'[2]UPGRADES - BYRON RANGE'!$N$57</f>
        <v>200</v>
      </c>
    </row>
    <row r="69" spans="3:4">
      <c r="C69" s="496" t="str">
        <f>'[2]UPGRADES - BYRON RANGE'!$B$58</f>
        <v>Wall mounted clothesline</v>
      </c>
      <c r="D69" s="362">
        <f>'[2]UPGRADES - BYRON RANGE'!$N$58</f>
        <v>400</v>
      </c>
    </row>
    <row r="70" spans="3:4">
      <c r="C70" s="496" t="str">
        <f>'[2]UPGRADES - BYRON RANGE'!$B$59</f>
        <v>Letterbox</v>
      </c>
      <c r="D70" s="362">
        <f>'[2]UPGRADES - BYRON RANGE'!$N$59</f>
        <v>350</v>
      </c>
    </row>
    <row r="71" spans="3:4">
      <c r="C71" s="496" t="str">
        <f>'[2]UPGRADES - BYRON RANGE'!$B$60</f>
        <v>Newington front door</v>
      </c>
      <c r="D71" s="362">
        <f>'[2]UPGRADES - BYRON RANGE'!$N$60</f>
        <v>300</v>
      </c>
    </row>
    <row r="72" spans="3:4">
      <c r="C72" s="496" t="str">
        <f>'[2]UPGRADES - BYRON RANGE'!$B$61</f>
        <v>Nexion front door handle</v>
      </c>
      <c r="D72" s="362">
        <f>'[2]UPGRADES - BYRON RANGE'!$N$61</f>
        <v>175</v>
      </c>
    </row>
    <row r="73" spans="3:4">
      <c r="C73" s="496" t="str">
        <f>'[2]UPGRADES - BYRON RANGE'!$B$62</f>
        <v>Brick Upgrade</v>
      </c>
      <c r="D73" s="362">
        <f>'[2]UPGRADES - BYRON RANGE'!$N$62</f>
        <v>720</v>
      </c>
    </row>
    <row r="75" spans="3:4">
      <c r="C75" s="18" t="s">
        <v>1121</v>
      </c>
    </row>
    <row r="76" spans="3:4">
      <c r="C76" s="496" t="str">
        <f>'[2]UPGRADES - BYRON RANGE'!$B$64</f>
        <v>Internal door pack - WIR, WIP &amp; rear hallway</v>
      </c>
      <c r="D76" s="362">
        <f>'[2]UPGRADES - BYRON RANGE'!$N$64</f>
        <v>660</v>
      </c>
    </row>
    <row r="77" spans="3:4">
      <c r="C77" s="496" t="str">
        <f>'[2]UPGRADES - BYRON RANGE'!$B$65</f>
        <v>2340mm high internal doors &amp; robe/linen doors - (2550mm Cielings Required)</v>
      </c>
      <c r="D77" s="497">
        <f>'[2]UPGRADES - BYRON RANGE'!$N$65</f>
        <v>1200</v>
      </c>
    </row>
    <row r="78" spans="3:4">
      <c r="C78" s="496" t="str">
        <f>'[2]UPGRADES - BYRON RANGE'!$B$66</f>
        <v>Single roller blinds</v>
      </c>
      <c r="D78" s="497">
        <f>'[2]UPGRADES - BYRON RANGE'!$N$66</f>
        <v>2780</v>
      </c>
    </row>
    <row r="80" spans="3:4">
      <c r="C80" s="18" t="s">
        <v>509</v>
      </c>
    </row>
    <row r="81" spans="3:4">
      <c r="C81" s="233" t="s">
        <v>1153</v>
      </c>
      <c r="D81" s="362">
        <f>'[2]UPGRADES - BYRON RANGE'!$N$68</f>
        <v>50</v>
      </c>
    </row>
    <row r="82" spans="3:4">
      <c r="C82" s="233" t="s">
        <v>1154</v>
      </c>
      <c r="D82" s="362">
        <f>'[2]UPGRADES - BYRON RANGE'!$N$68*2</f>
        <v>100</v>
      </c>
    </row>
    <row r="83" spans="3:4">
      <c r="C83" s="233" t="s">
        <v>1155</v>
      </c>
      <c r="D83" s="362">
        <f>'[2]UPGRADES - BYRON RANGE'!$N$68*3</f>
        <v>150</v>
      </c>
    </row>
    <row r="84" spans="3:4">
      <c r="C84" s="233" t="s">
        <v>1156</v>
      </c>
      <c r="D84" s="362">
        <f>'[2]UPGRADES - BYRON RANGE'!$N$68*2</f>
        <v>100</v>
      </c>
    </row>
    <row r="85" spans="3:4">
      <c r="C85" s="233" t="s">
        <v>1157</v>
      </c>
      <c r="D85" s="362">
        <f>'[2]UPGRADES - BYRON RANGE'!$N$68*4</f>
        <v>200</v>
      </c>
    </row>
    <row r="86" spans="3:4">
      <c r="C86" s="233" t="s">
        <v>1158</v>
      </c>
      <c r="D86" s="362">
        <f>'[2]UPGRADES - BYRON RANGE'!$N$68*6</f>
        <v>300</v>
      </c>
    </row>
    <row r="87" spans="3:4">
      <c r="C87" s="233" t="s">
        <v>1159</v>
      </c>
      <c r="D87" s="362">
        <f>'[2]UPGRADES - BYRON RANGE'!$N$69</f>
        <v>185</v>
      </c>
    </row>
    <row r="88" spans="3:4">
      <c r="C88" s="233" t="s">
        <v>1171</v>
      </c>
      <c r="D88" s="362">
        <f>'[2]UPGRADES - BYRON RANGE'!$N$69*2</f>
        <v>370</v>
      </c>
    </row>
    <row r="89" spans="3:4">
      <c r="C89" s="233" t="s">
        <v>1172</v>
      </c>
      <c r="D89" s="362">
        <f>'[2]UPGRADES - BYRON RANGE'!$N$69*3</f>
        <v>555</v>
      </c>
    </row>
    <row r="90" spans="3:4">
      <c r="C90" s="233" t="s">
        <v>1173</v>
      </c>
      <c r="D90" s="362">
        <f>'[2]UPGRADES - BYRON RANGE'!$N$69*4</f>
        <v>740</v>
      </c>
    </row>
    <row r="91" spans="3:4">
      <c r="C91" s="233" t="s">
        <v>1174</v>
      </c>
      <c r="D91" s="362">
        <f>'[2]UPGRADES - BYRON RANGE'!$N$69*5</f>
        <v>925</v>
      </c>
    </row>
    <row r="92" spans="3:4">
      <c r="C92" s="233" t="s">
        <v>1175</v>
      </c>
      <c r="D92" s="362">
        <f>'[2]UPGRADES - BYRON RANGE'!$N$69*6</f>
        <v>1110</v>
      </c>
    </row>
    <row r="93" spans="3:4">
      <c r="C93" s="233" t="s">
        <v>1165</v>
      </c>
      <c r="D93" s="362">
        <f>'[2]UPGRADES - BYRON RANGE'!$N$70</f>
        <v>510</v>
      </c>
    </row>
    <row r="94" spans="3:4">
      <c r="C94" s="233" t="s">
        <v>1176</v>
      </c>
      <c r="D94" s="362">
        <f>'[2]UPGRADES - BYRON RANGE'!$N$70*2</f>
        <v>1020</v>
      </c>
    </row>
    <row r="95" spans="3:4">
      <c r="C95" s="233" t="s">
        <v>1177</v>
      </c>
      <c r="D95" s="362">
        <f>'[2]UPGRADES - BYRON RANGE'!$N$70*3</f>
        <v>1530</v>
      </c>
    </row>
    <row r="96" spans="3:4">
      <c r="C96" s="233" t="s">
        <v>1178</v>
      </c>
      <c r="D96" s="362">
        <f>'[2]UPGRADES - BYRON RANGE'!$N$70*4</f>
        <v>2040</v>
      </c>
    </row>
    <row r="97" spans="3:4">
      <c r="C97" s="233" t="s">
        <v>1179</v>
      </c>
      <c r="D97" s="362">
        <f>'[2]UPGRADES - BYRON RANGE'!$N$70*5</f>
        <v>2550</v>
      </c>
    </row>
    <row r="98" spans="3:4">
      <c r="C98" s="233" t="s">
        <v>1180</v>
      </c>
      <c r="D98" s="362">
        <f>'[2]UPGRADES - BYRON RANGE'!$N$70*6</f>
        <v>3060</v>
      </c>
    </row>
    <row r="100" spans="3:4">
      <c r="C100" s="18" t="s">
        <v>1123</v>
      </c>
    </row>
    <row r="101" spans="3:4">
      <c r="C101" s="496" t="str">
        <f>'[2]UPGRADES - BYRON RANGE'!$B$72</f>
        <v>600mm stainless steel oven &amp; canopy rangehood and electric cooktop</v>
      </c>
      <c r="D101" s="362">
        <f>'[2]UPGRADES - BYRON RANGE'!$N$72</f>
        <v>365</v>
      </c>
    </row>
    <row r="102" spans="3:4">
      <c r="C102" s="496" t="str">
        <f>'[2]UPGRADES - BYRON RANGE'!$B$73</f>
        <v>900mm black inbuilt oven, cooktop &amp; canopy rangehood</v>
      </c>
      <c r="D102" s="362">
        <f>'[2]UPGRADES - BYRON RANGE'!$N$73</f>
        <v>1870</v>
      </c>
    </row>
    <row r="103" spans="3:4">
      <c r="C103" s="496" t="str">
        <f>'[2]UPGRADES - BYRON RANGE'!$B$74</f>
        <v>900mm stainless steel inbuilt oven, cooktop &amp; canopy rangehood</v>
      </c>
      <c r="D103" s="362">
        <f>'[2]UPGRADES - BYRON RANGE'!$N$74</f>
        <v>1860</v>
      </c>
    </row>
    <row r="104" spans="3:4">
      <c r="C104" s="496" t="str">
        <f>'[2]UPGRADES - BYRON RANGE'!$B$75</f>
        <v>900mm black undermount rangehood in lieu of canopy</v>
      </c>
      <c r="D104" s="362">
        <f>'[2]UPGRADES - BYRON RANGE'!$N$75</f>
        <v>800</v>
      </c>
    </row>
    <row r="105" spans="3:4">
      <c r="C105" s="496" t="str">
        <f>'[2]UPGRADES - BYRON RANGE'!$B$76</f>
        <v>900mm stainless steel undermount rangehood in lieu of canopy</v>
      </c>
      <c r="D105" s="362">
        <f>'[2]UPGRADES - BYRON RANGE'!$N$76</f>
        <v>770</v>
      </c>
    </row>
    <row r="106" spans="3:4">
      <c r="C106" s="496" t="str">
        <f>'[2]UPGRADES - BYRON RANGE'!$B$77</f>
        <v>Stainless steel dishwasher</v>
      </c>
      <c r="D106" s="362">
        <f>'[2]UPGRADES - BYRON RANGE'!$N$77</f>
        <v>700</v>
      </c>
    </row>
    <row r="107" spans="3:4">
      <c r="C107" s="496" t="str">
        <f>'[2]UPGRADES - BYRON RANGE'!$B$78</f>
        <v>Black dishwasher</v>
      </c>
      <c r="D107" s="362">
        <f>'[2]UPGRADES - BYRON RANGE'!$N$78</f>
        <v>750</v>
      </c>
    </row>
    <row r="108" spans="3:4">
      <c r="C108" s="496" t="str">
        <f>'[2]UPGRADES - BYRON RANGE'!$B$79</f>
        <v>Cold water point for fridge</v>
      </c>
      <c r="D108" s="362">
        <f>'[2]UPGRADES - BYRON RANGE'!$N$79</f>
        <v>200</v>
      </c>
    </row>
    <row r="109" spans="3:4">
      <c r="C109" s="233" t="s">
        <v>1183</v>
      </c>
      <c r="D109" s="362">
        <f>'[2]UPGRADES - BYRON RANGE'!$N$80</f>
        <v>350</v>
      </c>
    </row>
    <row r="110" spans="3:4">
      <c r="C110" s="233" t="s">
        <v>1184</v>
      </c>
      <c r="D110" s="362">
        <f>'[2]UPGRADES - BYRON RANGE'!$N$80*2</f>
        <v>700</v>
      </c>
    </row>
    <row r="111" spans="3:4">
      <c r="C111" s="233" t="s">
        <v>1185</v>
      </c>
      <c r="D111" s="362">
        <f>'[2]UPGRADES - BYRON RANGE'!$N$80*3</f>
        <v>1050</v>
      </c>
    </row>
    <row r="112" spans="3:4">
      <c r="C112" s="233" t="s">
        <v>1186</v>
      </c>
      <c r="D112" s="362">
        <f>'[2]UPGRADES - BYRON RANGE'!$N$80*4</f>
        <v>1400</v>
      </c>
    </row>
    <row r="113" spans="3:4">
      <c r="C113" s="233" t="s">
        <v>1187</v>
      </c>
      <c r="D113" s="362">
        <f>'[2]UPGRADES - BYRON RANGE'!$N$80*5</f>
        <v>1750</v>
      </c>
    </row>
    <row r="114" spans="3:4">
      <c r="C114" s="496" t="str">
        <f>'[2]UPGRADES - BYRON RANGE'!$B$81</f>
        <v>Upgrade cabinetry handles - (Catergory 2)</v>
      </c>
      <c r="D114" s="362">
        <f>'[2]UPGRADES - BYRON RANGE'!$N$81</f>
        <v>150</v>
      </c>
    </row>
    <row r="115" spans="3:4">
      <c r="C115" s="496" t="str">
        <f>'[2]UPGRADES - BYRON RANGE'!$B$82</f>
        <v xml:space="preserve">20mm Stone benchtops- Standard </v>
      </c>
      <c r="D115" s="362">
        <f>'[2]UPGRADES - BYRON RANGE'!$N$82</f>
        <v>2980</v>
      </c>
    </row>
    <row r="116" spans="3:4">
      <c r="C116" s="496" t="str">
        <f>'[2]UPGRADES - BYRON RANGE'!$B$83</f>
        <v>20mm Stone benchtops - The Entertainers Kitchen</v>
      </c>
      <c r="D116" s="362">
        <f>'[2]UPGRADES - BYRON RANGE'!$N$83</f>
        <v>3650</v>
      </c>
    </row>
    <row r="117" spans="3:4">
      <c r="C117" s="496" t="str">
        <f>'[2]UPGRADES - BYRON RANGE'!$B$84</f>
        <v>20mm Stone benchtops - The Modern Chef Kitchen</v>
      </c>
      <c r="D117" s="362">
        <f>'[2]UPGRADES - BYRON RANGE'!$N$84</f>
        <v>4175</v>
      </c>
    </row>
    <row r="118" spans="3:4">
      <c r="C118" s="496" t="str">
        <f>'[2]UPGRADES - BYRON RANGE'!$B$85</f>
        <v>20mm Stone waterfall ends</v>
      </c>
      <c r="D118" s="362">
        <f>'[2]UPGRADES - BYRON RANGE'!$N$85</f>
        <v>1480</v>
      </c>
    </row>
    <row r="119" spans="3:4">
      <c r="C119" s="496" t="str">
        <f>'[2]UPGRADES - BYRON RANGE'!$B$86</f>
        <v xml:space="preserve">40mm Stone benchtops- Standard </v>
      </c>
      <c r="D119" s="362">
        <f>'[2]UPGRADES - BYRON RANGE'!$N$86</f>
        <v>3800</v>
      </c>
    </row>
    <row r="120" spans="3:4">
      <c r="C120" s="496" t="str">
        <f>'[2]UPGRADES - BYRON RANGE'!$B$87</f>
        <v>40mm Stone benchtops- The Entertainers Kitchen</v>
      </c>
      <c r="D120" s="362">
        <f>'[2]UPGRADES - BYRON RANGE'!$N$87</f>
        <v>4660</v>
      </c>
    </row>
    <row r="121" spans="3:4">
      <c r="C121" s="496" t="str">
        <f>'[2]UPGRADES - BYRON RANGE'!$B$88</f>
        <v>40mm Stone benchtops - The Modern Chef Kitchen</v>
      </c>
      <c r="D121" s="362">
        <f>'[2]UPGRADES - BYRON RANGE'!$N$88</f>
        <v>5360</v>
      </c>
    </row>
    <row r="122" spans="3:4">
      <c r="C122" s="496" t="str">
        <f>'[2]UPGRADES - BYRON RANGE'!$B$89</f>
        <v>40mm Stone waterfall ends</v>
      </c>
      <c r="D122" s="362">
        <f>'[2]UPGRADES - BYRON RANGE'!$N$89</f>
        <v>1720</v>
      </c>
    </row>
    <row r="123" spans="3:4">
      <c r="C123" s="496" t="str">
        <f>'[2]UPGRADES - BYRON RANGE'!$B$90</f>
        <v>Double bowl sink</v>
      </c>
      <c r="D123" s="362">
        <f>'[2]UPGRADES - BYRON RANGE'!$N$90</f>
        <v>350</v>
      </c>
    </row>
    <row r="124" spans="3:4">
      <c r="C124" s="496" t="str">
        <f>'[2]UPGRADES - BYRON RANGE'!$B$91</f>
        <v>Upgrade vegie kitchen mixer in chrome</v>
      </c>
      <c r="D124" s="362">
        <f>'[2]UPGRADES - BYRON RANGE'!$N$91</f>
        <v>120</v>
      </c>
    </row>
    <row r="125" spans="3:4">
      <c r="C125" s="496" t="str">
        <f>'[2]UPGRADES - BYRON RANGE'!$B$92</f>
        <v>Upgrade vegie kitchen mixer in black</v>
      </c>
      <c r="D125" s="362">
        <f>'[2]UPGRADES - BYRON RANGE'!$N$92</f>
        <v>130</v>
      </c>
    </row>
    <row r="127" spans="3:4">
      <c r="C127" s="18" t="s">
        <v>1117</v>
      </c>
    </row>
    <row r="128" spans="3:4">
      <c r="C128" s="496" t="str">
        <f>'[2]UPGRADES - BYRON RANGE'!$B$94</f>
        <v>20mm Stone benchtops</v>
      </c>
      <c r="D128" s="362">
        <f>'[2]UPGRADES - BYRON RANGE'!$N$94</f>
        <v>900</v>
      </c>
    </row>
    <row r="129" spans="3:4">
      <c r="C129" s="496" t="str">
        <f>'[2]UPGRADES - BYRON RANGE'!$B$95</f>
        <v>Dual shower heads</v>
      </c>
      <c r="D129" s="362">
        <f>'[2]UPGRADES - BYRON RANGE'!$N$95</f>
        <v>440</v>
      </c>
    </row>
    <row r="130" spans="3:4">
      <c r="C130" s="496" t="str">
        <f>'[2]UPGRADES - BYRON RANGE'!$B$96</f>
        <v>Additional towel rails</v>
      </c>
      <c r="D130" s="362">
        <f>'[2]UPGRADES - BYRON RANGE'!$N$96</f>
        <v>160</v>
      </c>
    </row>
    <row r="131" spans="3:4">
      <c r="C131" s="496" t="str">
        <f>'[2]UPGRADES - BYRON RANGE'!$B$97</f>
        <v>Upgrade tapware and accessories to Winton in chrome</v>
      </c>
      <c r="D131" s="362">
        <f>'[2]UPGRADES - BYRON RANGE'!$N$97</f>
        <v>630</v>
      </c>
    </row>
    <row r="132" spans="3:4">
      <c r="C132" s="496" t="str">
        <f>'[2]UPGRADES - BYRON RANGE'!$B$98</f>
        <v>Upgrade tapware and accessories to Winton in black</v>
      </c>
      <c r="D132" s="362">
        <f>'[2]UPGRADES - BYRON RANGE'!$N$98</f>
        <v>700</v>
      </c>
    </row>
    <row r="133" spans="3:4">
      <c r="C133" s="496" t="str">
        <f>'[2]UPGRADES - BYRON RANGE'!$B$99</f>
        <v>Upgrade vanity basins</v>
      </c>
      <c r="D133" s="362">
        <f>'[2]UPGRADES - BYRON RANGE'!$N$99</f>
        <v>300</v>
      </c>
    </row>
    <row r="134" spans="3:4">
      <c r="C134" s="496" t="str">
        <f>'[2]UPGRADES - BYRON RANGE'!$B$100</f>
        <v>Upgrade cabinetry handles including laundry - (Catergory 2)</v>
      </c>
      <c r="D134" s="362">
        <f>'[2]UPGRADES - BYRON RANGE'!$N$100</f>
        <v>105</v>
      </c>
    </row>
    <row r="136" spans="3:4">
      <c r="C136" s="18" t="s">
        <v>506</v>
      </c>
    </row>
    <row r="137" spans="3:4">
      <c r="C137" s="496" t="str">
        <f>'[2]UPGRADES - BYRON RANGE'!$B$105</f>
        <v>Downlight Pack 1: Entry &amp; Family room</v>
      </c>
      <c r="D137" s="497">
        <f>'[2]UPGRADES - BYRON RANGE'!$N$105</f>
        <v>1250</v>
      </c>
    </row>
    <row r="138" spans="3:4">
      <c r="C138" s="496" t="str">
        <f>'[2]UPGRADES - BYRON RANGE'!$B$106</f>
        <v>Downlight Pack 2: Whole home</v>
      </c>
      <c r="D138" s="497">
        <f>'[2]UPGRADES - BYRON RANGE'!$N$106</f>
        <v>2400</v>
      </c>
    </row>
    <row r="139" spans="3:4">
      <c r="C139" s="496" t="str">
        <f>'[2]UPGRADES - BYRON RANGE'!$B$107</f>
        <v>External Pack 1: Downlights to porch &amp; front eave</v>
      </c>
      <c r="D139" s="362">
        <f>'[2]UPGRADES - BYRON RANGE'!$N$107</f>
        <v>160</v>
      </c>
    </row>
    <row r="140" spans="3:4">
      <c r="C140" s="496" t="str">
        <f>'[2]UPGRADES - BYRON RANGE'!$B$108</f>
        <v>External Pack 2: 2 x Up/down lights, 2 downlights to outdoor living &amp; 2 floodlights</v>
      </c>
      <c r="D140" s="362">
        <f>'[2]UPGRADES - BYRON RANGE'!$N$108</f>
        <v>1070</v>
      </c>
    </row>
    <row r="141" spans="3:4">
      <c r="C141" s="496" t="str">
        <f>'[2]UPGRADES - BYRON RANGE'!$B$109</f>
        <v>Pendant Pack: 3 Pendants to island bench</v>
      </c>
      <c r="D141" s="362">
        <f>'[2]UPGRADES - BYRON RANGE'!$N$109</f>
        <v>1160</v>
      </c>
    </row>
    <row r="142" spans="3:4">
      <c r="C142" s="496" t="str">
        <f>'[2]UPGRADES - BYRON RANGE'!$B$110</f>
        <v>Fan Pack 1: Ceiling fans to all bedrooms</v>
      </c>
      <c r="D142" s="497">
        <f>'[2]UPGRADES - BYRON RANGE'!$N$110</f>
        <v>2300</v>
      </c>
    </row>
    <row r="143" spans="3:4">
      <c r="C143" s="496" t="str">
        <f>'[2]UPGRADES - BYRON RANGE'!$B$111</f>
        <v>Fan Pack 2: Ceiling fans to living areas</v>
      </c>
      <c r="D143" s="362">
        <f>'[2]UPGRADES - BYRON RANGE'!$N$111</f>
        <v>930</v>
      </c>
    </row>
    <row r="144" spans="3:4">
      <c r="C144" s="496" t="str">
        <f>'[2]UPGRADES - BYRON RANGE'!$B$112</f>
        <v>Fan Pack 3: Ceiling fan to outdoor living</v>
      </c>
      <c r="D144" s="362">
        <f>'[2]UPGRADES - BYRON RANGE'!$N$112</f>
        <v>470</v>
      </c>
    </row>
    <row r="145" spans="3:4">
      <c r="C145" s="496" t="str">
        <f>'[2]UPGRADES - BYRON RANGE'!$B$113</f>
        <v>TV antenna</v>
      </c>
      <c r="D145" s="362">
        <f>'[2]UPGRADES - BYRON RANGE'!$N$113</f>
        <v>590</v>
      </c>
    </row>
    <row r="146" spans="3:4">
      <c r="C146" s="496" t="str">
        <f>'[2]UPGRADES - BYRON RANGE'!$B$114</f>
        <v>TV Pack: 2 x TV points &amp; 2 x double powerpoints</v>
      </c>
      <c r="D146" s="362">
        <f>'[2]UPGRADES - BYRON RANGE'!$N$114</f>
        <v>340</v>
      </c>
    </row>
    <row r="147" spans="3:4">
      <c r="C147" s="496" t="str">
        <f>'[2]UPGRADES - BYRON RANGE'!$B$115</f>
        <v>Powerpoint Pack 1: 5 x Double powerpoints</v>
      </c>
      <c r="D147" s="362">
        <f>'[2]UPGRADES - BYRON RANGE'!$N$115</f>
        <v>430</v>
      </c>
    </row>
    <row r="148" spans="3:4">
      <c r="C148" s="496" t="str">
        <f>'[2]UPGRADES - BYRON RANGE'!$B$116</f>
        <v>Powerpoint Pack 2: 10 x Double powerpoints</v>
      </c>
      <c r="D148" s="362">
        <f>'[2]UPGRADES - BYRON RANGE'!$N$116</f>
        <v>850</v>
      </c>
    </row>
    <row r="150" spans="3:4">
      <c r="C150" s="18" t="s">
        <v>1124</v>
      </c>
    </row>
    <row r="151" spans="3:4">
      <c r="C151" s="496" t="str">
        <f>'[2]UPGRADES - BYRON RANGE'!$B$102</f>
        <v>1 x Additional split system - (3.5kw)</v>
      </c>
      <c r="D151" s="362">
        <f>'[2]UPGRADES - BYRON RANGE'!$N$102</f>
        <v>3200</v>
      </c>
    </row>
    <row r="152" spans="3:4">
      <c r="C152" s="233" t="s">
        <v>1188</v>
      </c>
      <c r="D152" s="362">
        <f>'[2]UPGRADES - BYRON RANGE'!$N$102*2</f>
        <v>6400</v>
      </c>
    </row>
    <row r="153" spans="3:4">
      <c r="C153" s="233" t="s">
        <v>1189</v>
      </c>
      <c r="D153" s="362">
        <f>'[2]UPGRADES - BYRON RANGE'!$N$102*3</f>
        <v>9600</v>
      </c>
    </row>
    <row r="154" spans="3:4">
      <c r="C154" s="233" t="s">
        <v>1190</v>
      </c>
      <c r="D154" s="362">
        <f>'[2]UPGRADES - BYRON RANGE'!$N$102*4</f>
        <v>12800</v>
      </c>
    </row>
    <row r="155" spans="3:4">
      <c r="C155" s="496" t="str">
        <f>'[2]UPGRADES - BYRON RANGE'!$B$103</f>
        <v>Upgrade to reverse cycle ducted system</v>
      </c>
      <c r="D155" s="497">
        <f>'[2]UPGRADES - BYRON RANGE'!$N$103</f>
        <v>11200</v>
      </c>
    </row>
    <row r="157" spans="3:4">
      <c r="C157" s="18" t="s">
        <v>1125</v>
      </c>
    </row>
    <row r="158" spans="3:4">
      <c r="C158" s="496" t="str">
        <f>'[2]UPGRADES - BYRON RANGE'!$B$118</f>
        <v>Upgrade carpet</v>
      </c>
      <c r="D158" s="362">
        <f>'[2]UPGRADES - BYRON RANGE'!$N$118</f>
        <v>450</v>
      </c>
    </row>
    <row r="159" spans="3:4">
      <c r="C159" s="496" t="str">
        <f>'[2]UPGRADES - BYRON RANGE'!$B$119</f>
        <v>Upgrade tiles to wet area floor &amp; walls</v>
      </c>
      <c r="D159" s="362">
        <f>'[2]UPGRADES - BYRON RANGE'!$N$119</f>
        <v>600</v>
      </c>
    </row>
    <row r="160" spans="3:4">
      <c r="C160" s="496" t="str">
        <f>'[2]UPGRADES - BYRON RANGE'!$B$120</f>
        <v>Upgrade tiles to main area floors</v>
      </c>
      <c r="D160" s="362">
        <f>'[2]UPGRADES - BYRON RANGE'!$N$120</f>
        <v>1500</v>
      </c>
    </row>
    <row r="161" spans="3:6">
      <c r="C161" s="496" t="str">
        <f>'[2]UPGRADES - BYRON RANGE'!$B$121</f>
        <v>Upgrade tiles to kitchen &amp; laundry splashback</v>
      </c>
      <c r="D161" s="362">
        <f>'[2]UPGRADES - BYRON RANGE'!$N$121</f>
        <v>300</v>
      </c>
      <c r="F161" t="s">
        <v>1126</v>
      </c>
    </row>
    <row r="162" spans="3:6">
      <c r="C162" s="233" t="s">
        <v>1194</v>
      </c>
      <c r="D162" s="362">
        <f>'[2]UPGRADES - BYRON RANGE'!$N$121+100</f>
        <v>400</v>
      </c>
    </row>
    <row r="163" spans="3:6">
      <c r="C163" s="233" t="s">
        <v>1193</v>
      </c>
      <c r="D163" s="362">
        <f>'[2]UPGRADES - BYRON RANGE'!$N$121+200</f>
        <v>500</v>
      </c>
    </row>
    <row r="164" spans="3:6">
      <c r="C164" s="496" t="str">
        <f>'[2]UPGRADES - BYRON RANGE'!$B$122</f>
        <v>Upgrade to vinyl - (Wet Area's to be Tiles)</v>
      </c>
      <c r="D164" s="497">
        <f>'[2]UPGRADES - BYRON RANGE'!$N$122</f>
        <v>4400</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C04C-BD5B-48A4-AC34-8739E32AC92B}">
  <dimension ref="C3:F162"/>
  <sheetViews>
    <sheetView topLeftCell="A117" workbookViewId="0">
      <selection activeCell="J66" sqref="J66"/>
    </sheetView>
  </sheetViews>
  <sheetFormatPr defaultRowHeight="14.4"/>
  <cols>
    <col min="3" max="3" width="63.88671875" customWidth="1"/>
    <col min="4" max="4" width="11.33203125" style="361" bestFit="1" customWidth="1"/>
  </cols>
  <sheetData>
    <row r="3" spans="3:4">
      <c r="C3" s="18" t="s">
        <v>1112</v>
      </c>
    </row>
    <row r="4" spans="3:4">
      <c r="C4" s="496" t="str">
        <f>'[2]UPGRADES - MALVERN RANGE'!$B$6</f>
        <v>Extend garage by 500mm</v>
      </c>
      <c r="D4" s="362">
        <f>'[2]UPGRADES - MALVERN RANGE'!$L$6</f>
        <v>2500</v>
      </c>
    </row>
    <row r="5" spans="3:4">
      <c r="C5" s="496" t="str">
        <f>'[2]UPGRADES - MALVERN RANGE'!$B$7</f>
        <v>Extend garage by 1000mm</v>
      </c>
      <c r="D5" s="362">
        <f>'[2]UPGRADES - MALVERN RANGE'!$L$7</f>
        <v>5000</v>
      </c>
    </row>
    <row r="6" spans="3:4">
      <c r="C6" s="496" t="str">
        <f>'[2]UPGRADES - MALVERN RANGE'!$B$8</f>
        <v>Outdoor Living - addition 1</v>
      </c>
      <c r="D6" s="362">
        <f>'[2]UPGRADES - MALVERN RANGE'!$L$8</f>
        <v>5900</v>
      </c>
    </row>
    <row r="7" spans="3:4">
      <c r="C7" s="496" t="str">
        <f>'[2]UPGRADES - MALVERN RANGE'!$B$9</f>
        <v>Outdoor Living - brick pier in lieu of steel post</v>
      </c>
      <c r="D7" s="362">
        <f>'[2]UPGRADES - MALVERN RANGE'!$L$9</f>
        <v>800</v>
      </c>
    </row>
    <row r="8" spans="3:4">
      <c r="C8" s="496" t="str">
        <f>'[2]UPGRADES - MALVERN RANGE'!$B$10</f>
        <v xml:space="preserve">Additional concrete - outdoor living </v>
      </c>
      <c r="D8" s="362">
        <f>'[2]UPGRADES - MALVERN RANGE'!$L$10</f>
        <v>1260</v>
      </c>
    </row>
    <row r="9" spans="3:4">
      <c r="C9" s="496" t="str">
        <f>'[2]UPGRADES - MALVERN RANGE'!$B$11</f>
        <v>Outdoor Living - addition 2</v>
      </c>
      <c r="D9" s="362">
        <f>'[2]UPGRADES - MALVERN RANGE'!$L$11</f>
        <v>8100</v>
      </c>
    </row>
    <row r="10" spans="3:4">
      <c r="C10" s="496" t="str">
        <f>'[2]UPGRADES - MALVERN RANGE'!$B$12</f>
        <v>Outdoor Living - brick pier in lieu of steel post</v>
      </c>
      <c r="D10" s="362">
        <f>'[2]UPGRADES - MALVERN RANGE'!$L$12</f>
        <v>800</v>
      </c>
    </row>
    <row r="11" spans="3:4">
      <c r="C11" s="496" t="str">
        <f>'[2]UPGRADES - MALVERN RANGE'!$B$13</f>
        <v xml:space="preserve">Additional concrete- Outdoor living </v>
      </c>
      <c r="D11" s="362">
        <f>'[2]UPGRADES - MALVERN RANGE'!$L$13</f>
        <v>2100</v>
      </c>
    </row>
    <row r="12" spans="3:4">
      <c r="C12" s="496" t="str">
        <f>'[2]UPGRADES - MALVERN RANGE'!$B$14</f>
        <v>Kitchen - The Everyday Kitchen</v>
      </c>
      <c r="D12" s="362">
        <f>'[2]UPGRADES - MALVERN RANGE'!$L$14</f>
        <v>2400</v>
      </c>
    </row>
    <row r="13" spans="3:4">
      <c r="C13" s="496" t="str">
        <f>'[2]UPGRADES - MALVERN RANGE'!$B$15</f>
        <v>Kitchen - The Modern Chef Kitchen</v>
      </c>
      <c r="D13" s="362">
        <f>'[2]UPGRADES - MALVERN RANGE'!$L$15</f>
        <v>5400</v>
      </c>
    </row>
    <row r="14" spans="3:4">
      <c r="C14" s="496" t="str">
        <f>'[2]UPGRADES - MALVERN RANGE'!$B$16</f>
        <v>Ensuite - The Signature Ensuite</v>
      </c>
      <c r="D14" s="362">
        <f>'[2]UPGRADES - MALVERN RANGE'!$L$16</f>
        <v>650</v>
      </c>
    </row>
    <row r="15" spans="3:4">
      <c r="C15" s="496" t="str">
        <f>'[2]UPGRADES - MALVERN RANGE'!$B$17</f>
        <v>Ensuite - The Indulgence Ensuite</v>
      </c>
      <c r="D15" s="362">
        <f>'[2]UPGRADES - MALVERN RANGE'!$L$17</f>
        <v>3500</v>
      </c>
    </row>
    <row r="16" spans="3:4">
      <c r="C16" s="496" t="str">
        <f>'[2]UPGRADES - MALVERN RANGE'!$B$18</f>
        <v>The Premier Meals</v>
      </c>
      <c r="D16" s="362">
        <f>'[2]UPGRADES - MALVERN RANGE'!$L$18</f>
        <v>12120</v>
      </c>
    </row>
    <row r="18" spans="3:4">
      <c r="C18" s="18" t="s">
        <v>1113</v>
      </c>
    </row>
    <row r="19" spans="3:4">
      <c r="C19" s="233" t="s">
        <v>1114</v>
      </c>
      <c r="D19" s="498" t="s">
        <v>267</v>
      </c>
    </row>
    <row r="20" spans="3:4">
      <c r="C20" s="496" t="str">
        <f>'[2]UPGRADES - MALVERN RANGE'!$B$24</f>
        <v>The Rise Façade</v>
      </c>
      <c r="D20" s="362">
        <f>'[2]UPGRADES - MALVERN RANGE'!$L$24</f>
        <v>6270</v>
      </c>
    </row>
    <row r="21" spans="3:4">
      <c r="C21" s="496" t="str">
        <f>'[2]UPGRADES - MALVERN RANGE'!$B$25</f>
        <v>The Crest Façade</v>
      </c>
      <c r="D21" s="362">
        <f>'[2]UPGRADES - MALVERN RANGE'!$L$25</f>
        <v>9200</v>
      </c>
    </row>
    <row r="22" spans="3:4">
      <c r="C22" s="496" t="str">
        <f>'[2]UPGRADES - MALVERN RANGE'!$B$26</f>
        <v>The Sanctuary Façade</v>
      </c>
      <c r="D22" s="362">
        <f>'[2]UPGRADES - MALVERN RANGE'!$L$26</f>
        <v>9950</v>
      </c>
    </row>
    <row r="23" spans="3:4">
      <c r="C23" s="496" t="str">
        <f>'[2]UPGRADES - MALVERN RANGE'!$B$27</f>
        <v>The Meadow Façade</v>
      </c>
      <c r="D23" s="362">
        <f>'[2]UPGRADES - MALVERN RANGE'!$L$27</f>
        <v>12980</v>
      </c>
    </row>
    <row r="24" spans="3:4">
      <c r="C24" s="496" t="str">
        <f>'[2]UPGRADES - MALVERN RANGE'!$B$28</f>
        <v xml:space="preserve">Double Posts </v>
      </c>
      <c r="D24" s="362">
        <f>'[2]UPGRADES - MALVERN RANGE'!$L$28</f>
        <v>2430</v>
      </c>
    </row>
    <row r="25" spans="3:4">
      <c r="C25" s="496" t="str">
        <f>'[2]UPGRADES - MALVERN RANGE'!$B$29</f>
        <v>Double Posts &amp; 1/2 Bricks Piers</v>
      </c>
      <c r="D25" s="362">
        <f>'[2]UPGRADES - MALVERN RANGE'!$L$29</f>
        <v>7460</v>
      </c>
    </row>
    <row r="27" spans="3:4">
      <c r="C27" s="18" t="s">
        <v>1115</v>
      </c>
    </row>
    <row r="28" spans="3:4">
      <c r="C28" s="18" t="s">
        <v>1116</v>
      </c>
    </row>
    <row r="29" spans="3:4">
      <c r="C29" s="496" t="str">
        <f>'[2]UPGRADES - MALVERN RANGE'!$B$32</f>
        <v>600mm overhead either side of rangehood</v>
      </c>
      <c r="D29" s="362">
        <f>'[2]UPGRADES - MALVERN RANGE'!$L$32</f>
        <v>990</v>
      </c>
    </row>
    <row r="30" spans="3:4">
      <c r="C30" s="496" t="str">
        <f>'[2]UPGRADES - MALVERN RANGE'!$B$33</f>
        <v>Overhead cupboards with integrated rangehood</v>
      </c>
      <c r="D30" s="362">
        <f>'[2]UPGRADES - MALVERN RANGE'!$L$33</f>
        <v>1860</v>
      </c>
    </row>
    <row r="31" spans="3:4">
      <c r="C31" s="496" t="str">
        <f>'[2]UPGRADES - MALVERN RANGE'!$B$34</f>
        <v>Fridge overhead cupboard</v>
      </c>
      <c r="D31" s="362">
        <f>'[2]UPGRADES - MALVERN RANGE'!$L$34</f>
        <v>960</v>
      </c>
    </row>
    <row r="32" spans="3:4">
      <c r="C32" s="233" t="s">
        <v>1147</v>
      </c>
      <c r="D32" s="362">
        <f>'[2]UPGRADES - MALVERN RANGE'!$L$35</f>
        <v>330</v>
      </c>
    </row>
    <row r="33" spans="3:4">
      <c r="C33" s="233" t="s">
        <v>1148</v>
      </c>
      <c r="D33" s="362">
        <f>'[2]UPGRADES - MALVERN RANGE'!$L$35*2</f>
        <v>660</v>
      </c>
    </row>
    <row r="34" spans="3:4">
      <c r="C34" s="233" t="s">
        <v>1149</v>
      </c>
      <c r="D34" s="362">
        <f>'[2]UPGRADES - MALVERN RANGE'!$L$35*3</f>
        <v>990</v>
      </c>
    </row>
    <row r="35" spans="3:4">
      <c r="C35" s="233" t="s">
        <v>1150</v>
      </c>
      <c r="D35" s="362">
        <f>'[2]UPGRADES - MALVERN RANGE'!$L$35*4</f>
        <v>1320</v>
      </c>
    </row>
    <row r="36" spans="3:4">
      <c r="C36" s="233" t="s">
        <v>1151</v>
      </c>
      <c r="D36" s="362">
        <f>'[2]UPGRADES - MALVERN RANGE'!$L$35*5</f>
        <v>1650</v>
      </c>
    </row>
    <row r="37" spans="3:4">
      <c r="C37" s="496" t="str">
        <f>'[2]UPGRADES - MALVERN RANGE'!$B$36</f>
        <v>Microwave cavity with drawer below</v>
      </c>
      <c r="D37" s="362">
        <f>'[2]UPGRADES - MALVERN RANGE'!$L$36</f>
        <v>415</v>
      </c>
    </row>
    <row r="38" spans="3:4">
      <c r="C38" s="496" t="str">
        <f>'[2]UPGRADES - MALVERN RANGE'!$B$37</f>
        <v>Twin bin with drawer below</v>
      </c>
      <c r="D38" s="362">
        <f>'[2]UPGRADES - MALVERN RANGE'!$L$37</f>
        <v>250</v>
      </c>
    </row>
    <row r="39" spans="3:4">
      <c r="C39" s="496" t="str">
        <f>'[2]UPGRADES - MALVERN RANGE'!$B$38</f>
        <v xml:space="preserve">1212 No Bottom Reveal Window </v>
      </c>
      <c r="D39" s="362">
        <f>'[2]UPGRADES - MALVERN RANGE'!$L$38</f>
        <v>390</v>
      </c>
    </row>
    <row r="40" spans="3:4">
      <c r="D40" s="515"/>
    </row>
    <row r="41" spans="3:4">
      <c r="C41" s="18" t="s">
        <v>1117</v>
      </c>
      <c r="D41" s="515"/>
    </row>
    <row r="42" spans="3:4">
      <c r="C42" s="496" t="str">
        <f>'[2]UPGRADES - MALVERN RANGE'!$B$40</f>
        <v>Bank of 3 drawers to vanities</v>
      </c>
      <c r="D42" s="362">
        <f>'[2]UPGRADES - MALVERN RANGE'!$L$40</f>
        <v>660</v>
      </c>
    </row>
    <row r="43" spans="3:4">
      <c r="C43" s="233" t="s">
        <v>1181</v>
      </c>
      <c r="D43" s="362">
        <f>'[2]UPGRADES - MALVERN RANGE'!$L$41*2</f>
        <v>660</v>
      </c>
    </row>
    <row r="44" spans="3:4">
      <c r="C44" s="233" t="s">
        <v>1182</v>
      </c>
      <c r="D44" s="362">
        <f>'[2]UPGRADES - MALVERN RANGE'!$L$41*3</f>
        <v>990</v>
      </c>
    </row>
    <row r="45" spans="3:4">
      <c r="C45" s="496" t="s">
        <v>1191</v>
      </c>
      <c r="D45" s="362">
        <f>'[2]UPGRADES - MALVERN RANGE'!$L$42/2*2</f>
        <v>280</v>
      </c>
    </row>
    <row r="46" spans="3:4">
      <c r="C46" s="496" t="s">
        <v>1192</v>
      </c>
      <c r="D46" s="362">
        <f>'[2]UPGRADES - MALVERN RANGE'!$L$42/2*3</f>
        <v>420</v>
      </c>
    </row>
    <row r="47" spans="3:4">
      <c r="C47" s="496" t="str">
        <f>'[2]UPGRADES - MALVERN RANGE'!$B$43</f>
        <v>Tiled recess shelves</v>
      </c>
      <c r="D47" s="362">
        <f>'[2]UPGRADES - MALVERN RANGE'!$L$43</f>
        <v>800</v>
      </c>
    </row>
    <row r="48" spans="3:4">
      <c r="C48" s="496" t="str">
        <f>'[2]UPGRADES - MALVERN RANGE'!$B$44</f>
        <v>Extend tiles to 2m high on vanity wall</v>
      </c>
      <c r="D48" s="362">
        <f>'[2]UPGRADES - MALVERN RANGE'!$L$44</f>
        <v>500</v>
      </c>
    </row>
    <row r="49" spans="3:4">
      <c r="C49" s="496" t="str">
        <f>'[2]UPGRADES - MALVERN RANGE'!$B$45</f>
        <v>Extend tiles to 2m high on remaining three walls</v>
      </c>
      <c r="D49" s="362">
        <f>'[2]UPGRADES - MALVERN RANGE'!$L$45</f>
        <v>2000</v>
      </c>
    </row>
    <row r="50" spans="3:4">
      <c r="D50" s="515"/>
    </row>
    <row r="51" spans="3:4">
      <c r="C51" s="18" t="s">
        <v>1118</v>
      </c>
      <c r="D51" s="515"/>
    </row>
    <row r="52" spans="3:4">
      <c r="C52" s="496" t="str">
        <f>'[2]UPGRADES - MALVERN RANGE'!$B$47</f>
        <v>1200mm Laminate benchtop &amp; cupboards</v>
      </c>
      <c r="D52" s="362">
        <f>'[2]UPGRADES - MALVERN RANGE'!$L$47</f>
        <v>1680</v>
      </c>
    </row>
    <row r="53" spans="3:4">
      <c r="C53" s="496" t="str">
        <f>'[2]UPGRADES - MALVERN RANGE'!$B$48</f>
        <v>Extend laminate benchtop only by 750mm with powerpoint</v>
      </c>
      <c r="D53" s="362">
        <f>'[2]UPGRADES - MALVERN RANGE'!$L$48</f>
        <v>525</v>
      </c>
    </row>
    <row r="54" spans="3:4">
      <c r="C54" s="496" t="str">
        <f>'[2]UPGRADES - MALVERN RANGE'!$B$49</f>
        <v>1200mm Overhead cupboards</v>
      </c>
      <c r="D54" s="362">
        <f>'[2]UPGRADES - MALVERN RANGE'!$L$49</f>
        <v>1040</v>
      </c>
    </row>
    <row r="55" spans="3:4">
      <c r="C55" s="496" t="str">
        <f>'[2]UPGRADES - MALVERN RANGE'!$B$50</f>
        <v>750mm Overhead cupboards</v>
      </c>
      <c r="D55" s="362">
        <f>'[2]UPGRADES - MALVERN RANGE'!$L$50</f>
        <v>765</v>
      </c>
    </row>
    <row r="56" spans="3:4">
      <c r="C56" s="496" t="str">
        <f>'[2]UPGRADES - MALVERN RANGE'!$B$51</f>
        <v>Hanging rail under overheads</v>
      </c>
      <c r="D56" s="362">
        <f>'[2]UPGRADES - MALVERN RANGE'!$L$51</f>
        <v>300</v>
      </c>
    </row>
    <row r="57" spans="3:4">
      <c r="C57" s="496" t="str">
        <f>'[2]UPGRADES - MALVERN RANGE'!$B$52</f>
        <v>Pullout laundry basket with drawer</v>
      </c>
      <c r="D57" s="362">
        <f>'[2]UPGRADES - MALVERN RANGE'!$L$52</f>
        <v>235</v>
      </c>
    </row>
    <row r="58" spans="3:4">
      <c r="D58" s="515"/>
    </row>
    <row r="59" spans="3:4">
      <c r="C59" s="18" t="s">
        <v>1214</v>
      </c>
      <c r="D59" s="515"/>
    </row>
    <row r="60" spans="3:4">
      <c r="C60" s="496" t="str">
        <f>'[2]UPGRADES - MALVERN RANGE'!$B$54</f>
        <v>Eaves to whole home</v>
      </c>
      <c r="D60" s="362">
        <f>'[2]UPGRADES - MALVERN RANGE'!$L$54</f>
        <v>5100</v>
      </c>
    </row>
    <row r="61" spans="3:4">
      <c r="C61" s="496" t="str">
        <f>'[2]UPGRADES - MALVERN RANGE'!$B$55</f>
        <v>2550mm ceiling</v>
      </c>
      <c r="D61" s="362">
        <f>'[2]UPGRADES - MALVERN RANGE'!$L$55</f>
        <v>3700</v>
      </c>
    </row>
    <row r="62" spans="3:4">
      <c r="C62" s="496" t="str">
        <f>'[2]UPGRADES - MALVERN RANGE'!$B$56</f>
        <v>Add 2100h x 2400w roller door</v>
      </c>
      <c r="D62" s="362">
        <f>'[2]UPGRADES - MALVERN RANGE'!$L$56</f>
        <v>1670</v>
      </c>
    </row>
    <row r="63" spans="3:4">
      <c r="D63" s="515"/>
    </row>
    <row r="64" spans="3:4">
      <c r="C64" s="18" t="s">
        <v>1119</v>
      </c>
      <c r="D64" s="515"/>
    </row>
    <row r="65" spans="3:4">
      <c r="C65" s="18" t="s">
        <v>1120</v>
      </c>
      <c r="D65" s="515"/>
    </row>
    <row r="66" spans="3:4">
      <c r="C66" s="496" t="str">
        <f>'[2]UPGRADES - MALVERN RANGE'!$B$59</f>
        <v>Double glazing to whole home (please note: all windows will be awning)</v>
      </c>
      <c r="D66" s="362">
        <f>'[2]UPGRADES - MALVERN RANGE'!$L$59</f>
        <v>4500</v>
      </c>
    </row>
    <row r="67" spans="3:4">
      <c r="C67" s="496" t="str">
        <f>'[2]UPGRADES - MALVERN RANGE'!$B$60</f>
        <v>Sliding door in lieu of swing</v>
      </c>
      <c r="D67" s="362">
        <f>'[2]UPGRADES - MALVERN RANGE'!$L$60</f>
        <v>200</v>
      </c>
    </row>
    <row r="68" spans="3:4">
      <c r="C68" s="496" t="str">
        <f>'[2]UPGRADES - MALVERN RANGE'!$B$61</f>
        <v>Wall mounted clothesline</v>
      </c>
      <c r="D68" s="362">
        <f>'[2]UPGRADES - MALVERN RANGE'!$L$61</f>
        <v>400</v>
      </c>
    </row>
    <row r="69" spans="3:4">
      <c r="C69" s="496" t="str">
        <f>'[2]UPGRADES - MALVERN RANGE'!$B$62</f>
        <v>Letterbox</v>
      </c>
      <c r="D69" s="362">
        <f>'[2]UPGRADES - MALVERN RANGE'!$L$62</f>
        <v>350</v>
      </c>
    </row>
    <row r="70" spans="3:4">
      <c r="C70" s="496" t="str">
        <f>'[2]UPGRADES - MALVERN RANGE'!$B$63</f>
        <v>Newington front door</v>
      </c>
      <c r="D70" s="362">
        <f>'[2]UPGRADES - MALVERN RANGE'!$L$63</f>
        <v>300</v>
      </c>
    </row>
    <row r="71" spans="3:4">
      <c r="C71" s="496" t="str">
        <f>'[2]UPGRADES - MALVERN RANGE'!$B$64</f>
        <v>Nexion front door handle</v>
      </c>
      <c r="D71" s="362">
        <f>'[2]UPGRADES - MALVERN RANGE'!$L$64</f>
        <v>175</v>
      </c>
    </row>
    <row r="72" spans="3:4">
      <c r="C72" s="496" t="str">
        <f>'[2]UPGRADES - MALVERN RANGE'!$B$65</f>
        <v>Brick Upgrade</v>
      </c>
      <c r="D72" s="362">
        <f>'[2]UPGRADES - MALVERN RANGE'!$L$65</f>
        <v>720</v>
      </c>
    </row>
    <row r="73" spans="3:4">
      <c r="D73" s="515"/>
    </row>
    <row r="74" spans="3:4">
      <c r="C74" s="18" t="s">
        <v>1121</v>
      </c>
      <c r="D74" s="515"/>
    </row>
    <row r="75" spans="3:4">
      <c r="C75" s="496" t="str">
        <f>'[2]UPGRADES - MALVERN RANGE'!$B$67</f>
        <v>Internal door - single doors each</v>
      </c>
      <c r="D75" s="362">
        <f>'[2]UPGRADES - MALVERN RANGE'!$L$67</f>
        <v>475</v>
      </c>
    </row>
    <row r="76" spans="3:4">
      <c r="C76" s="496" t="str">
        <f>'[2]UPGRADES - MALVERN RANGE'!$B$68</f>
        <v>Internal door - double doors each</v>
      </c>
      <c r="D76" s="362">
        <f>'[2]UPGRADES - MALVERN RANGE'!$L$68</f>
        <v>1480</v>
      </c>
    </row>
    <row r="77" spans="3:4">
      <c r="C77" s="496" t="str">
        <f>'[2]UPGRADES - MALVERN RANGE'!$B$69</f>
        <v>2340mm high internal doors &amp; robe/linen doors</v>
      </c>
      <c r="D77" s="362">
        <f>'[2]UPGRADES - MALVERN RANGE'!$L$69</f>
        <v>1450</v>
      </c>
    </row>
    <row r="78" spans="3:4">
      <c r="C78" s="496" t="str">
        <f>'[2]UPGRADES - MALVERN RANGE'!$B$70</f>
        <v>Single roller blinds</v>
      </c>
      <c r="D78" s="362">
        <f>'[2]UPGRADES - MALVERN RANGE'!$L$70</f>
        <v>2700</v>
      </c>
    </row>
    <row r="79" spans="3:4">
      <c r="D79" s="515"/>
    </row>
    <row r="80" spans="3:4">
      <c r="C80" s="18" t="s">
        <v>509</v>
      </c>
      <c r="D80" s="515"/>
    </row>
    <row r="81" spans="3:4">
      <c r="C81" s="233" t="s">
        <v>1153</v>
      </c>
      <c r="D81" s="362">
        <f>'[2]UPGRADES - MALVERN RANGE'!$L$72</f>
        <v>50</v>
      </c>
    </row>
    <row r="82" spans="3:4">
      <c r="C82" s="233" t="s">
        <v>1154</v>
      </c>
      <c r="D82" s="362">
        <f>'[2]UPGRADES - MALVERN RANGE'!$L$72*2</f>
        <v>100</v>
      </c>
    </row>
    <row r="83" spans="3:4">
      <c r="C83" s="233" t="s">
        <v>1155</v>
      </c>
      <c r="D83" s="362">
        <f>'[2]UPGRADES - MALVERN RANGE'!$L$72*3</f>
        <v>150</v>
      </c>
    </row>
    <row r="84" spans="3:4">
      <c r="C84" s="233" t="s">
        <v>1156</v>
      </c>
      <c r="D84" s="362">
        <f>'[2]UPGRADES - MALVERN RANGE'!$L$72*2</f>
        <v>100</v>
      </c>
    </row>
    <row r="85" spans="3:4">
      <c r="C85" s="233" t="s">
        <v>1157</v>
      </c>
      <c r="D85" s="362">
        <f>'[2]UPGRADES - MALVERN RANGE'!$L$72*4</f>
        <v>200</v>
      </c>
    </row>
    <row r="86" spans="3:4">
      <c r="C86" s="233" t="s">
        <v>1158</v>
      </c>
      <c r="D86" s="362">
        <f>'[2]UPGRADES - MALVERN RANGE'!$L$72*6</f>
        <v>300</v>
      </c>
    </row>
    <row r="87" spans="3:4">
      <c r="C87" s="233" t="s">
        <v>1159</v>
      </c>
      <c r="D87" s="362">
        <f>'[2]UPGRADES - MALVERN RANGE'!$L$73</f>
        <v>185</v>
      </c>
    </row>
    <row r="88" spans="3:4">
      <c r="C88" s="233" t="s">
        <v>1171</v>
      </c>
      <c r="D88" s="362">
        <f>'[2]UPGRADES - MALVERN RANGE'!$L$73*2</f>
        <v>370</v>
      </c>
    </row>
    <row r="89" spans="3:4">
      <c r="C89" s="233" t="s">
        <v>1172</v>
      </c>
      <c r="D89" s="362">
        <f>'[2]UPGRADES - MALVERN RANGE'!$L$73*3</f>
        <v>555</v>
      </c>
    </row>
    <row r="90" spans="3:4">
      <c r="C90" s="233" t="s">
        <v>1173</v>
      </c>
      <c r="D90" s="362">
        <f>'[2]UPGRADES - MALVERN RANGE'!$L$73*4</f>
        <v>740</v>
      </c>
    </row>
    <row r="91" spans="3:4">
      <c r="C91" s="233" t="s">
        <v>1174</v>
      </c>
      <c r="D91" s="362">
        <f>'[2]UPGRADES - MALVERN RANGE'!$L$73*5</f>
        <v>925</v>
      </c>
    </row>
    <row r="92" spans="3:4">
      <c r="C92" s="233" t="s">
        <v>1175</v>
      </c>
      <c r="D92" s="362">
        <f>'[2]UPGRADES - MALVERN RANGE'!$L$73*6</f>
        <v>1110</v>
      </c>
    </row>
    <row r="93" spans="3:4">
      <c r="C93" s="233" t="s">
        <v>1165</v>
      </c>
      <c r="D93" s="362">
        <f>'[2]UPGRADES - MALVERN RANGE'!$L$74</f>
        <v>510</v>
      </c>
    </row>
    <row r="94" spans="3:4">
      <c r="C94" s="233" t="s">
        <v>1176</v>
      </c>
      <c r="D94" s="362">
        <f>'[2]UPGRADES - MALVERN RANGE'!$L$74*2</f>
        <v>1020</v>
      </c>
    </row>
    <row r="95" spans="3:4">
      <c r="C95" s="233" t="s">
        <v>1177</v>
      </c>
      <c r="D95" s="362">
        <f>'[2]UPGRADES - MALVERN RANGE'!$L$74*3</f>
        <v>1530</v>
      </c>
    </row>
    <row r="96" spans="3:4">
      <c r="C96" s="233" t="s">
        <v>1178</v>
      </c>
      <c r="D96" s="362">
        <f>'[2]UPGRADES - MALVERN RANGE'!$L$74*4</f>
        <v>2040</v>
      </c>
    </row>
    <row r="97" spans="3:4">
      <c r="C97" s="233" t="s">
        <v>1179</v>
      </c>
      <c r="D97" s="362">
        <f>'[2]UPGRADES - MALVERN RANGE'!$L$74*5</f>
        <v>2550</v>
      </c>
    </row>
    <row r="98" spans="3:4">
      <c r="C98" s="233" t="s">
        <v>1180</v>
      </c>
      <c r="D98" s="362">
        <f>'[2]UPGRADES - MALVERN RANGE'!$L$74*6</f>
        <v>3060</v>
      </c>
    </row>
    <row r="99" spans="3:4">
      <c r="D99" s="515"/>
    </row>
    <row r="100" spans="3:4">
      <c r="C100" s="18" t="s">
        <v>1123</v>
      </c>
      <c r="D100" s="515"/>
    </row>
    <row r="101" spans="3:4">
      <c r="C101" s="496" t="str">
        <f>'[2]UPGRADES - MALVERN RANGE'!$B$76</f>
        <v>600mm stainless steel oven &amp; canopy rangehood and electric cooktop</v>
      </c>
      <c r="D101" s="362">
        <f>'[2]UPGRADES - MALVERN RANGE'!$L$76</f>
        <v>365</v>
      </c>
    </row>
    <row r="102" spans="3:4">
      <c r="C102" s="496" t="str">
        <f>'[2]UPGRADES - MALVERN RANGE'!$B$77</f>
        <v>900mm stainless steel inbuilt oven, cooktop &amp; canopy rangehood</v>
      </c>
      <c r="D102" s="362">
        <f>'[2]UPGRADES - MALVERN RANGE'!$L$77</f>
        <v>1860</v>
      </c>
    </row>
    <row r="103" spans="3:4">
      <c r="C103" s="496" t="str">
        <f>'[2]UPGRADES - MALVERN RANGE'!$B$78</f>
        <v>900mm black inbuilt oven, cooktop &amp; canopy rangehood</v>
      </c>
      <c r="D103" s="362">
        <f>'[2]UPGRADES - MALVERN RANGE'!$L$78</f>
        <v>1870</v>
      </c>
    </row>
    <row r="104" spans="3:4">
      <c r="C104" s="496" t="str">
        <f>'[2]UPGRADES - MALVERN RANGE'!$B$79</f>
        <v>900mm black undermount rangehood in lieu of canopy</v>
      </c>
      <c r="D104" s="362">
        <f>'[2]UPGRADES - MALVERN RANGE'!$L$79</f>
        <v>800</v>
      </c>
    </row>
    <row r="105" spans="3:4">
      <c r="C105" s="496" t="str">
        <f>'[2]UPGRADES - MALVERN RANGE'!$B$80</f>
        <v>900mm stainless steel undermount rangehood in lieu of canopy</v>
      </c>
      <c r="D105" s="362">
        <f>'[2]UPGRADES - MALVERN RANGE'!$L$80</f>
        <v>770</v>
      </c>
    </row>
    <row r="106" spans="3:4">
      <c r="C106" s="496" t="str">
        <f>'[2]UPGRADES - MALVERN RANGE'!$B$81</f>
        <v>Stainless steel dishwasher</v>
      </c>
      <c r="D106" s="362">
        <f>'[2]UPGRADES - MALVERN RANGE'!$L$81</f>
        <v>700</v>
      </c>
    </row>
    <row r="107" spans="3:4">
      <c r="C107" s="496" t="str">
        <f>'[2]UPGRADES - MALVERN RANGE'!$B$82</f>
        <v>Black dishwasher</v>
      </c>
      <c r="D107" s="362">
        <f>'[2]UPGRADES - MALVERN RANGE'!$L$82</f>
        <v>750</v>
      </c>
    </row>
    <row r="108" spans="3:4">
      <c r="C108" s="496" t="str">
        <f>'[2]UPGRADES - MALVERN RANGE'!$B$83</f>
        <v xml:space="preserve">20mm Stone benchtops- Standard </v>
      </c>
      <c r="D108" s="362">
        <f>'[2]UPGRADES - MALVERN RANGE'!$L$83</f>
        <v>3100</v>
      </c>
    </row>
    <row r="109" spans="3:4">
      <c r="C109" s="496" t="str">
        <f>'[2]UPGRADES - MALVERN RANGE'!$B$84</f>
        <v>20mm Stone benchtops - The Everyday Kitchen</v>
      </c>
      <c r="D109" s="362">
        <f>'[2]UPGRADES - MALVERN RANGE'!$L$84</f>
        <v>2980</v>
      </c>
    </row>
    <row r="110" spans="3:4">
      <c r="C110" s="496" t="str">
        <f>'[2]UPGRADES - MALVERN RANGE'!$B$85</f>
        <v>20mm Stone benchtops - The Modern Chef Kitchen</v>
      </c>
      <c r="D110" s="362">
        <f>'[2]UPGRADES - MALVERN RANGE'!$L$85</f>
        <v>4780</v>
      </c>
    </row>
    <row r="111" spans="3:4">
      <c r="C111" s="496" t="str">
        <f>'[2]UPGRADES - MALVERN RANGE'!$B$86</f>
        <v>20mm Stone benchtops - The Premier Meals</v>
      </c>
      <c r="D111" s="362">
        <f>'[2]UPGRADES - MALVERN RANGE'!$L$86</f>
        <v>3325</v>
      </c>
    </row>
    <row r="112" spans="3:4">
      <c r="C112" s="496" t="str">
        <f>'[2]UPGRADES - MALVERN RANGE'!$B$87</f>
        <v>20mm Stone waterfall ends</v>
      </c>
      <c r="D112" s="362">
        <f>'[2]UPGRADES - MALVERN RANGE'!$L$87</f>
        <v>1480</v>
      </c>
    </row>
    <row r="113" spans="3:4">
      <c r="C113" s="496" t="str">
        <f>'[2]UPGRADES - MALVERN RANGE'!$B$88</f>
        <v xml:space="preserve">40mm Stone benchtops- Standard </v>
      </c>
      <c r="D113" s="362">
        <f>'[2]UPGRADES - MALVERN RANGE'!$L$88</f>
        <v>3950</v>
      </c>
    </row>
    <row r="114" spans="3:4">
      <c r="C114" s="496" t="str">
        <f>'[2]UPGRADES - MALVERN RANGE'!$B$89</f>
        <v>40mm Stone benchtops- The Everyday Kitchen</v>
      </c>
      <c r="D114" s="362">
        <f>'[2]UPGRADES - MALVERN RANGE'!$L$89</f>
        <v>3800</v>
      </c>
    </row>
    <row r="115" spans="3:4">
      <c r="C115" s="496" t="str">
        <f>'[2]UPGRADES - MALVERN RANGE'!$B$90</f>
        <v xml:space="preserve">40mm Stone benchtops - The Modern Chef Kitchen </v>
      </c>
      <c r="D115" s="362">
        <f>'[2]UPGRADES - MALVERN RANGE'!$L$90</f>
        <v>5860</v>
      </c>
    </row>
    <row r="116" spans="3:4">
      <c r="C116" s="496" t="str">
        <f>'[2]UPGRADES - MALVERN RANGE'!$B$91</f>
        <v>40mm Stone benchtops - The Premier Meals</v>
      </c>
      <c r="D116" s="362">
        <f>'[2]UPGRADES - MALVERN RANGE'!$L$91</f>
        <v>4235</v>
      </c>
    </row>
    <row r="117" spans="3:4">
      <c r="C117" s="496" t="str">
        <f>'[2]UPGRADES - MALVERN RANGE'!$B$92</f>
        <v>40mm Stone waterfall ends</v>
      </c>
      <c r="D117" s="362">
        <f>'[2]UPGRADES - MALVERN RANGE'!$L$92</f>
        <v>1720</v>
      </c>
    </row>
    <row r="118" spans="3:4">
      <c r="C118" s="496" t="str">
        <f>'[2]UPGRADES - MALVERN RANGE'!$B$93</f>
        <v>Cold water point for fridge</v>
      </c>
      <c r="D118" s="362">
        <f>'[2]UPGRADES - MALVERN RANGE'!$L$93</f>
        <v>200</v>
      </c>
    </row>
    <row r="119" spans="3:4">
      <c r="C119" s="496" t="str">
        <f>'[2]UPGRADES - MALVERN RANGE'!$B$94</f>
        <v>Soft close drawers</v>
      </c>
      <c r="D119" s="362">
        <f>'[2]UPGRADES - MALVERN RANGE'!$L$94</f>
        <v>350</v>
      </c>
    </row>
    <row r="120" spans="3:4">
      <c r="C120" s="496" t="str">
        <f>'[2]UPGRADES - MALVERN RANGE'!$B$95</f>
        <v>Upgrade vegie kitchen mixer in chrome</v>
      </c>
      <c r="D120" s="362">
        <f>'[2]UPGRADES - MALVERN RANGE'!$L$95</f>
        <v>120</v>
      </c>
    </row>
    <row r="121" spans="3:4">
      <c r="C121" s="496" t="str">
        <f>'[2]UPGRADES - MALVERN RANGE'!$B$96</f>
        <v>Upgrade vegie kitchen mixer in black</v>
      </c>
      <c r="D121" s="362">
        <f>'[2]UPGRADES - MALVERN RANGE'!$L$96</f>
        <v>130</v>
      </c>
    </row>
    <row r="122" spans="3:4">
      <c r="C122" s="496" t="str">
        <f>'[2]UPGRADES - MALVERN RANGE'!$B$97</f>
        <v>Double bowl sink</v>
      </c>
      <c r="D122" s="362">
        <f>'[2]UPGRADES - MALVERN RANGE'!$L$97</f>
        <v>350</v>
      </c>
    </row>
    <row r="123" spans="3:4">
      <c r="C123" s="496" t="str">
        <f>'[2]UPGRADES - MALVERN RANGE'!$B$98</f>
        <v>Upgrade cabinetry handles</v>
      </c>
      <c r="D123" s="362">
        <f>'[2]UPGRADES - MALVERN RANGE'!$L$98</f>
        <v>150</v>
      </c>
    </row>
    <row r="124" spans="3:4">
      <c r="D124" s="515"/>
    </row>
    <row r="125" spans="3:4">
      <c r="C125" s="18" t="s">
        <v>1117</v>
      </c>
      <c r="D125" s="515"/>
    </row>
    <row r="126" spans="3:4">
      <c r="C126" s="496" t="str">
        <f>'[2]UPGRADES - MALVERN RANGE'!$B$100</f>
        <v>Upgrade tapware and accessories to Winton in chrome</v>
      </c>
      <c r="D126" s="362">
        <f>'[2]UPGRADES - MALVERN RANGE'!$L$100</f>
        <v>630</v>
      </c>
    </row>
    <row r="127" spans="3:4">
      <c r="C127" s="496" t="str">
        <f>'[2]UPGRADES - MALVERN RANGE'!$B$101</f>
        <v>Upgrade tapware and accessories to Winton in black</v>
      </c>
      <c r="D127" s="362">
        <f>'[2]UPGRADES - MALVERN RANGE'!$L$101</f>
        <v>700</v>
      </c>
    </row>
    <row r="128" spans="3:4">
      <c r="C128" s="496" t="str">
        <f>'[2]UPGRADES - MALVERN RANGE'!$B$102</f>
        <v>Dual shower heads</v>
      </c>
      <c r="D128" s="362">
        <f>'[2]UPGRADES - MALVERN RANGE'!$L$102</f>
        <v>440</v>
      </c>
    </row>
    <row r="129" spans="3:4">
      <c r="C129" s="496" t="str">
        <f>'[2]UPGRADES - MALVERN RANGE'!$B$103</f>
        <v>Upgrade vanity basins</v>
      </c>
      <c r="D129" s="362">
        <f>'[2]UPGRADES - MALVERN RANGE'!$L$103</f>
        <v>300</v>
      </c>
    </row>
    <row r="130" spans="3:4">
      <c r="C130" s="496" t="str">
        <f>'[2]UPGRADES - MALVERN RANGE'!$B$104</f>
        <v>20mm Stone benchtops</v>
      </c>
      <c r="D130" s="362">
        <f>'[2]UPGRADES - MALVERN RANGE'!$L$104</f>
        <v>900</v>
      </c>
    </row>
    <row r="131" spans="3:4">
      <c r="C131" s="496" t="str">
        <f>'[2]UPGRADES - MALVERN RANGE'!$B$105</f>
        <v>Additional towel rails</v>
      </c>
      <c r="D131" s="362">
        <f>'[2]UPGRADES - MALVERN RANGE'!$L$105</f>
        <v>160</v>
      </c>
    </row>
    <row r="132" spans="3:4">
      <c r="C132" s="496" t="str">
        <f>'[2]UPGRADES - MALVERN RANGE'!$B$106</f>
        <v>Upgrade cabinetry handles including laundry</v>
      </c>
      <c r="D132" s="362">
        <f>'[2]UPGRADES - MALVERN RANGE'!$L$106</f>
        <v>105</v>
      </c>
    </row>
    <row r="133" spans="3:4">
      <c r="D133" s="515"/>
    </row>
    <row r="134" spans="3:4">
      <c r="C134" s="18" t="s">
        <v>506</v>
      </c>
      <c r="D134" s="515"/>
    </row>
    <row r="135" spans="3:4">
      <c r="C135" s="496" t="str">
        <f>'[2]UPGRADES - MALVERN RANGE'!$B$131</f>
        <v>Downlight Pack 1: Entry &amp; Family room</v>
      </c>
      <c r="D135" s="362">
        <f>'[2]UPGRADES - MALVERN RANGE'!$L$131</f>
        <v>1240</v>
      </c>
    </row>
    <row r="136" spans="3:4">
      <c r="C136" s="496" t="str">
        <f>'[2]UPGRADES - MALVERN RANGE'!$B$132</f>
        <v>Downlight Pack 2: Whole home</v>
      </c>
      <c r="D136" s="362">
        <f>'[2]UPGRADES - MALVERN RANGE'!$L$132</f>
        <v>1870</v>
      </c>
    </row>
    <row r="137" spans="3:4">
      <c r="C137" s="496" t="str">
        <f>'[2]UPGRADES - MALVERN RANGE'!$B$133</f>
        <v>External Pack 1: Downlights to porch &amp; front eave</v>
      </c>
      <c r="D137" s="362">
        <f>'[2]UPGRADES - MALVERN RANGE'!$L$133</f>
        <v>160</v>
      </c>
    </row>
    <row r="138" spans="3:4">
      <c r="C138" s="496" t="str">
        <f>'[2]UPGRADES - MALVERN RANGE'!$B$134</f>
        <v>External Pack 2: 2 x Up/down lights, 2 downlights to outdoor living &amp; 2 floodlights</v>
      </c>
      <c r="D138" s="362">
        <f>'[2]UPGRADES - MALVERN RANGE'!$L$134</f>
        <v>1175</v>
      </c>
    </row>
    <row r="139" spans="3:4">
      <c r="C139" s="496" t="str">
        <f>'[2]UPGRADES - MALVERN RANGE'!$B$135</f>
        <v>Pendant Pack: 3 Pendants to island bench</v>
      </c>
      <c r="D139" s="362">
        <f>'[2]UPGRADES - MALVERN RANGE'!$L$135</f>
        <v>1160</v>
      </c>
    </row>
    <row r="140" spans="3:4">
      <c r="C140" s="496" t="str">
        <f>'[2]UPGRADES - MALVERN RANGE'!$B$136</f>
        <v>Fan Pack 1: Ceiling fans to all bedrooms</v>
      </c>
      <c r="D140" s="362">
        <f>'[2]UPGRADES - MALVERN RANGE'!$L$136</f>
        <v>2500</v>
      </c>
    </row>
    <row r="141" spans="3:4">
      <c r="C141" s="496" t="str">
        <f>'[2]UPGRADES - MALVERN RANGE'!$B$137</f>
        <v>Fan Pack 2: Ceiling fans to living areas</v>
      </c>
      <c r="D141" s="362">
        <f>'[2]UPGRADES - MALVERN RANGE'!$L$137</f>
        <v>1240</v>
      </c>
    </row>
    <row r="142" spans="3:4">
      <c r="C142" s="496" t="str">
        <f>'[2]UPGRADES - MALVERN RANGE'!$B$138</f>
        <v>Fan Pack 3: Ceiling fan to outdoor living</v>
      </c>
      <c r="D142" s="362">
        <f>'[2]UPGRADES - MALVERN RANGE'!$L$138</f>
        <v>620</v>
      </c>
    </row>
    <row r="143" spans="3:4">
      <c r="C143" s="496" t="str">
        <f>'[2]UPGRADES - MALVERN RANGE'!$B$139</f>
        <v>TV antenna</v>
      </c>
      <c r="D143" s="362">
        <f>'[2]UPGRADES - MALVERN RANGE'!$L$139</f>
        <v>590</v>
      </c>
    </row>
    <row r="144" spans="3:4">
      <c r="C144" s="496" t="str">
        <f>'[2]UPGRADES - MALVERN RANGE'!$B$140</f>
        <v>TV Pack: 2 x TV points &amp; 2 x double powerpoints</v>
      </c>
      <c r="D144" s="362">
        <f>'[2]UPGRADES - MALVERN RANGE'!$L$140</f>
        <v>340</v>
      </c>
    </row>
    <row r="145" spans="3:6">
      <c r="C145" s="496" t="str">
        <f>'[2]UPGRADES - MALVERN RANGE'!$B$141</f>
        <v>Powerpoint Pack 1: 5 x Double powerpoints</v>
      </c>
      <c r="D145" s="362">
        <f>'[2]UPGRADES - MALVERN RANGE'!$L$141</f>
        <v>430</v>
      </c>
    </row>
    <row r="146" spans="3:6">
      <c r="C146" s="496" t="str">
        <f>'[2]UPGRADES - MALVERN RANGE'!$B$142</f>
        <v>Powerpoint Pack 2: 10 x Double powerpoints</v>
      </c>
      <c r="D146" s="362">
        <f>'[2]UPGRADES - MALVERN RANGE'!$L$142</f>
        <v>850</v>
      </c>
    </row>
    <row r="147" spans="3:6">
      <c r="D147" s="515"/>
    </row>
    <row r="148" spans="3:6">
      <c r="C148" s="18" t="s">
        <v>1124</v>
      </c>
      <c r="D148" s="515"/>
    </row>
    <row r="149" spans="3:6">
      <c r="C149" s="496" t="str">
        <f>'[2]UPGRADES - MALVERN RANGE'!$B$122</f>
        <v>1 x Additional split system - (3.5kw)</v>
      </c>
      <c r="D149" s="362">
        <f>'[2]UPGRADES - MALVERN RANGE'!$L$122</f>
        <v>3200</v>
      </c>
    </row>
    <row r="150" spans="3:6">
      <c r="C150" s="233" t="s">
        <v>1188</v>
      </c>
      <c r="D150" s="362">
        <f>'[2]UPGRADES - MALVERN RANGE'!$L$122*2</f>
        <v>6400</v>
      </c>
    </row>
    <row r="151" spans="3:6">
      <c r="C151" s="233" t="s">
        <v>1189</v>
      </c>
      <c r="D151" s="362">
        <f>'[2]UPGRADES - MALVERN RANGE'!$L$122*3</f>
        <v>9600</v>
      </c>
    </row>
    <row r="152" spans="3:6">
      <c r="C152" s="233" t="s">
        <v>1190</v>
      </c>
      <c r="D152" s="362">
        <f>'[2]UPGRADES - MALVERN RANGE'!$L$122*4</f>
        <v>12800</v>
      </c>
    </row>
    <row r="153" spans="3:6">
      <c r="C153" s="496" t="str">
        <f>'[2]UPGRADES - MALVERN RANGE'!$B$123</f>
        <v>Upgrade to reverse cycle ducted system</v>
      </c>
      <c r="D153" s="362">
        <f>'[2]UPGRADES - MALVERN RANGE'!$L$123</f>
        <v>10900</v>
      </c>
    </row>
    <row r="154" spans="3:6">
      <c r="D154" s="515"/>
    </row>
    <row r="155" spans="3:6">
      <c r="C155" s="18" t="s">
        <v>1125</v>
      </c>
      <c r="D155" s="515"/>
    </row>
    <row r="156" spans="3:6">
      <c r="C156" s="496" t="str">
        <f>'[2]UPGRADES - MALVERN RANGE'!$B$125</f>
        <v>Upgrade carpet</v>
      </c>
      <c r="D156" s="362">
        <f>'[2]UPGRADES - MALVERN RANGE'!$L$125</f>
        <v>400</v>
      </c>
    </row>
    <row r="157" spans="3:6">
      <c r="C157" s="496" t="str">
        <f>'[2]UPGRADES - MALVERN RANGE'!$B$126</f>
        <v>Upgrade tiles to wet area floor &amp; walls</v>
      </c>
      <c r="D157" s="362">
        <f>'[2]UPGRADES - MALVERN RANGE'!$L$126</f>
        <v>600</v>
      </c>
    </row>
    <row r="158" spans="3:6">
      <c r="C158" s="496" t="str">
        <f>'[2]UPGRADES - MALVERN RANGE'!$B$127</f>
        <v>Upgrade tiles to main area floors</v>
      </c>
      <c r="D158" s="362">
        <f>'[2]UPGRADES - MALVERN RANGE'!$L$127</f>
        <v>1500</v>
      </c>
    </row>
    <row r="159" spans="3:6">
      <c r="C159" s="496" t="str">
        <f>'[2]UPGRADES - MALVERN RANGE'!$B$128</f>
        <v>Upgrade tiles to kitchen &amp; laundry splashback</v>
      </c>
      <c r="D159" s="362">
        <f>'[2]UPGRADES - MALVERN RANGE'!$L$128</f>
        <v>300</v>
      </c>
      <c r="F159" t="s">
        <v>1126</v>
      </c>
    </row>
    <row r="160" spans="3:6">
      <c r="C160" s="233" t="s">
        <v>1194</v>
      </c>
      <c r="D160" s="362">
        <f>'[2]UPGRADES - MALVERN RANGE'!$L$128+100</f>
        <v>400</v>
      </c>
    </row>
    <row r="161" spans="3:4">
      <c r="C161" s="233" t="s">
        <v>1193</v>
      </c>
      <c r="D161" s="362">
        <f>'[2]UPGRADES - MALVERN RANGE'!$L$128+200</f>
        <v>500</v>
      </c>
    </row>
    <row r="162" spans="3:4">
      <c r="C162" s="496" t="str">
        <f>'[2]UPGRADES - MALVERN RANGE'!$B$129</f>
        <v>Upgrade to vinyl</v>
      </c>
      <c r="D162" s="362">
        <f>'[2]UPGRADES - MALVERN RANGE'!$L$129</f>
        <v>3400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C8F92-2451-4786-9E37-FAAE798F58C9}">
  <dimension ref="C3:F162"/>
  <sheetViews>
    <sheetView topLeftCell="A132" workbookViewId="0">
      <selection activeCell="J66" sqref="J66"/>
    </sheetView>
  </sheetViews>
  <sheetFormatPr defaultRowHeight="14.4"/>
  <cols>
    <col min="3" max="3" width="63.88671875" customWidth="1"/>
    <col min="4" max="4" width="11.33203125" style="361" bestFit="1" customWidth="1"/>
  </cols>
  <sheetData>
    <row r="3" spans="3:4">
      <c r="C3" s="18" t="s">
        <v>1112</v>
      </c>
    </row>
    <row r="4" spans="3:4">
      <c r="C4" s="496" t="str">
        <f>'[2]UPGRADES - MALVERN RANGE'!$B$6</f>
        <v>Extend garage by 500mm</v>
      </c>
      <c r="D4" s="362">
        <f>'[2]UPGRADES - MALVERN RANGE'!$M$6</f>
        <v>2500</v>
      </c>
    </row>
    <row r="5" spans="3:4">
      <c r="C5" s="496" t="str">
        <f>'[2]UPGRADES - MALVERN RANGE'!$B$7</f>
        <v>Extend garage by 1000mm</v>
      </c>
      <c r="D5" s="362">
        <f>'[2]UPGRADES - MALVERN RANGE'!$M$7</f>
        <v>5000</v>
      </c>
    </row>
    <row r="6" spans="3:4">
      <c r="C6" s="496" t="str">
        <f>'[2]UPGRADES - MALVERN RANGE'!$B$8</f>
        <v>Outdoor Living - addition 1</v>
      </c>
      <c r="D6" s="362">
        <f>'[2]UPGRADES - MALVERN RANGE'!$M$8</f>
        <v>5900</v>
      </c>
    </row>
    <row r="7" spans="3:4">
      <c r="C7" s="496" t="str">
        <f>'[2]UPGRADES - MALVERN RANGE'!$B$9</f>
        <v>Outdoor Living - brick pier in lieu of steel post</v>
      </c>
      <c r="D7" s="362">
        <f>'[2]UPGRADES - MALVERN RANGE'!$M$9</f>
        <v>800</v>
      </c>
    </row>
    <row r="8" spans="3:4">
      <c r="C8" s="496" t="str">
        <f>'[2]UPGRADES - MALVERN RANGE'!$B$10</f>
        <v xml:space="preserve">Additional concrete - outdoor living </v>
      </c>
      <c r="D8" s="362">
        <f>'[2]UPGRADES - MALVERN RANGE'!$M$10</f>
        <v>1260</v>
      </c>
    </row>
    <row r="9" spans="3:4">
      <c r="C9" s="496" t="str">
        <f>'[2]UPGRADES - MALVERN RANGE'!$B$11</f>
        <v>Outdoor Living - addition 2</v>
      </c>
      <c r="D9" s="362">
        <f>'[2]UPGRADES - MALVERN RANGE'!$M$11</f>
        <v>8100</v>
      </c>
    </row>
    <row r="10" spans="3:4">
      <c r="C10" s="496" t="str">
        <f>'[2]UPGRADES - MALVERN RANGE'!$B$12</f>
        <v>Outdoor Living - brick pier in lieu of steel post</v>
      </c>
      <c r="D10" s="362">
        <f>'[2]UPGRADES - MALVERN RANGE'!$M$12</f>
        <v>800</v>
      </c>
    </row>
    <row r="11" spans="3:4">
      <c r="C11" s="496" t="str">
        <f>'[2]UPGRADES - MALVERN RANGE'!$B$13</f>
        <v xml:space="preserve">Additional concrete- Outdoor living </v>
      </c>
      <c r="D11" s="362">
        <f>'[2]UPGRADES - MALVERN RANGE'!$M$13</f>
        <v>2100</v>
      </c>
    </row>
    <row r="12" spans="3:4">
      <c r="C12" s="496" t="str">
        <f>'[2]UPGRADES - MALVERN RANGE'!$B$14</f>
        <v>Kitchen - The Everyday Kitchen</v>
      </c>
      <c r="D12" s="362">
        <f>'[2]UPGRADES - MALVERN RANGE'!$M$14</f>
        <v>2400</v>
      </c>
    </row>
    <row r="13" spans="3:4">
      <c r="C13" s="496" t="str">
        <f>'[2]UPGRADES - MALVERN RANGE'!$B$15</f>
        <v>Kitchen - The Modern Chef Kitchen</v>
      </c>
      <c r="D13" s="362">
        <f>'[2]UPGRADES - MALVERN RANGE'!$M$15</f>
        <v>5400</v>
      </c>
    </row>
    <row r="14" spans="3:4">
      <c r="C14" s="496" t="str">
        <f>'[2]UPGRADES - MALVERN RANGE'!$B$16</f>
        <v>Ensuite - The Signature Ensuite</v>
      </c>
      <c r="D14" s="362">
        <f>'[2]UPGRADES - MALVERN RANGE'!$M$16</f>
        <v>650</v>
      </c>
    </row>
    <row r="15" spans="3:4">
      <c r="C15" s="496" t="str">
        <f>'[2]UPGRADES - MALVERN RANGE'!$B$17</f>
        <v>Ensuite - The Indulgence Ensuite</v>
      </c>
      <c r="D15" s="362">
        <f>'[2]UPGRADES - MALVERN RANGE'!$M$17</f>
        <v>3500</v>
      </c>
    </row>
    <row r="16" spans="3:4">
      <c r="C16" s="496" t="str">
        <f>'[2]UPGRADES - MALVERN RANGE'!$B$18</f>
        <v>The Premier Meals</v>
      </c>
      <c r="D16" s="362">
        <f>'[2]UPGRADES - MALVERN RANGE'!$M$18</f>
        <v>12120</v>
      </c>
    </row>
    <row r="18" spans="3:4">
      <c r="C18" s="18" t="s">
        <v>1113</v>
      </c>
    </row>
    <row r="19" spans="3:4">
      <c r="C19" s="233" t="s">
        <v>1114</v>
      </c>
      <c r="D19" s="498" t="s">
        <v>267</v>
      </c>
    </row>
    <row r="20" spans="3:4">
      <c r="C20" s="496" t="str">
        <f>'[2]UPGRADES - MALVERN RANGE'!$B$24</f>
        <v>The Rise Façade</v>
      </c>
      <c r="D20" s="362">
        <f>'[2]UPGRADES - MALVERN RANGE'!$M$24</f>
        <v>6270</v>
      </c>
    </row>
    <row r="21" spans="3:4">
      <c r="C21" s="496" t="str">
        <f>'[2]UPGRADES - MALVERN RANGE'!$B$25</f>
        <v>The Crest Façade</v>
      </c>
      <c r="D21" s="362">
        <f>'[2]UPGRADES - MALVERN RANGE'!$M$25</f>
        <v>9200</v>
      </c>
    </row>
    <row r="22" spans="3:4">
      <c r="C22" s="496" t="str">
        <f>'[2]UPGRADES - MALVERN RANGE'!$B$26</f>
        <v>The Sanctuary Façade</v>
      </c>
      <c r="D22" s="362">
        <f>'[2]UPGRADES - MALVERN RANGE'!$M$26</f>
        <v>9950</v>
      </c>
    </row>
    <row r="23" spans="3:4">
      <c r="C23" s="496" t="str">
        <f>'[2]UPGRADES - MALVERN RANGE'!$B$27</f>
        <v>The Meadow Façade</v>
      </c>
      <c r="D23" s="362">
        <f>'[2]UPGRADES - MALVERN RANGE'!$M$27</f>
        <v>15370</v>
      </c>
    </row>
    <row r="24" spans="3:4">
      <c r="C24" s="496" t="str">
        <f>'[2]UPGRADES - MALVERN RANGE'!$B$28</f>
        <v xml:space="preserve">Double Posts </v>
      </c>
      <c r="D24" s="362">
        <f>'[2]UPGRADES - MALVERN RANGE'!$M$28</f>
        <v>2835</v>
      </c>
    </row>
    <row r="25" spans="3:4">
      <c r="C25" s="496" t="str">
        <f>'[2]UPGRADES - MALVERN RANGE'!$B$29</f>
        <v>Double Posts &amp; 1/2 Bricks Piers</v>
      </c>
      <c r="D25" s="362">
        <f>'[2]UPGRADES - MALVERN RANGE'!$M$29</f>
        <v>8660</v>
      </c>
    </row>
    <row r="27" spans="3:4">
      <c r="C27" s="18" t="s">
        <v>1115</v>
      </c>
    </row>
    <row r="28" spans="3:4">
      <c r="C28" s="18" t="s">
        <v>1116</v>
      </c>
    </row>
    <row r="29" spans="3:4">
      <c r="C29" s="496" t="str">
        <f>'[2]UPGRADES - MALVERN RANGE'!$B$32</f>
        <v>600mm overhead either side of rangehood</v>
      </c>
      <c r="D29" s="362">
        <f>'[2]UPGRADES - MALVERN RANGE'!$M$32</f>
        <v>990</v>
      </c>
    </row>
    <row r="30" spans="3:4">
      <c r="C30" s="496" t="str">
        <f>'[2]UPGRADES - MALVERN RANGE'!$B$33</f>
        <v>Overhead cupboards with integrated rangehood</v>
      </c>
      <c r="D30" s="362">
        <f>'[2]UPGRADES - MALVERN RANGE'!$M$33</f>
        <v>1860</v>
      </c>
    </row>
    <row r="31" spans="3:4">
      <c r="C31" s="496" t="str">
        <f>'[2]UPGRADES - MALVERN RANGE'!$B$34</f>
        <v>Fridge overhead cupboard</v>
      </c>
      <c r="D31" s="362">
        <f>'[2]UPGRADES - MALVERN RANGE'!$M$34</f>
        <v>960</v>
      </c>
    </row>
    <row r="32" spans="3:4">
      <c r="C32" s="233" t="s">
        <v>1147</v>
      </c>
      <c r="D32" s="362">
        <f>'[2]UPGRADES - MALVERN RANGE'!$M$35</f>
        <v>330</v>
      </c>
    </row>
    <row r="33" spans="3:4">
      <c r="C33" s="233" t="s">
        <v>1148</v>
      </c>
      <c r="D33" s="362">
        <f>'[2]UPGRADES - MALVERN RANGE'!$M$35*2</f>
        <v>660</v>
      </c>
    </row>
    <row r="34" spans="3:4">
      <c r="C34" s="233" t="s">
        <v>1149</v>
      </c>
      <c r="D34" s="362">
        <f>'[2]UPGRADES - MALVERN RANGE'!$M$35*3</f>
        <v>990</v>
      </c>
    </row>
    <row r="35" spans="3:4">
      <c r="C35" s="233" t="s">
        <v>1150</v>
      </c>
      <c r="D35" s="362">
        <f>'[2]UPGRADES - MALVERN RANGE'!$M$35*4</f>
        <v>1320</v>
      </c>
    </row>
    <row r="36" spans="3:4">
      <c r="C36" s="233" t="s">
        <v>1151</v>
      </c>
      <c r="D36" s="362">
        <f>'[2]UPGRADES - MALVERN RANGE'!$M$35*5</f>
        <v>1650</v>
      </c>
    </row>
    <row r="37" spans="3:4">
      <c r="C37" s="496" t="str">
        <f>'[2]UPGRADES - MALVERN RANGE'!$B$36</f>
        <v>Microwave cavity with drawer below</v>
      </c>
      <c r="D37" s="362">
        <f>'[2]UPGRADES - MALVERN RANGE'!$M$36</f>
        <v>415</v>
      </c>
    </row>
    <row r="38" spans="3:4">
      <c r="C38" s="496" t="str">
        <f>'[2]UPGRADES - MALVERN RANGE'!$B$37</f>
        <v>Twin bin with drawer below</v>
      </c>
      <c r="D38" s="362">
        <f>'[2]UPGRADES - MALVERN RANGE'!$M$37</f>
        <v>250</v>
      </c>
    </row>
    <row r="39" spans="3:4">
      <c r="C39" s="496" t="str">
        <f>'[2]UPGRADES - MALVERN RANGE'!$B$38</f>
        <v xml:space="preserve">1212 No Bottom Reveal Window </v>
      </c>
      <c r="D39" s="362">
        <f>'[2]UPGRADES - MALVERN RANGE'!$M$38</f>
        <v>390</v>
      </c>
    </row>
    <row r="40" spans="3:4">
      <c r="D40" s="515"/>
    </row>
    <row r="41" spans="3:4">
      <c r="C41" s="18" t="s">
        <v>1117</v>
      </c>
      <c r="D41" s="515"/>
    </row>
    <row r="42" spans="3:4">
      <c r="C42" s="496" t="str">
        <f>'[2]UPGRADES - MALVERN RANGE'!$B$40</f>
        <v>Bank of 3 drawers to vanities</v>
      </c>
      <c r="D42" s="362">
        <f>'[2]UPGRADES - MALVERN RANGE'!$M$40</f>
        <v>660</v>
      </c>
    </row>
    <row r="43" spans="3:4">
      <c r="C43" s="233" t="s">
        <v>1181</v>
      </c>
      <c r="D43" s="362">
        <f>'[2]UPGRADES - MALVERN RANGE'!$M$41*2</f>
        <v>660</v>
      </c>
    </row>
    <row r="44" spans="3:4">
      <c r="C44" s="233" t="s">
        <v>1182</v>
      </c>
      <c r="D44" s="362">
        <f>'[2]UPGRADES - MALVERN RANGE'!$M$41*3</f>
        <v>990</v>
      </c>
    </row>
    <row r="45" spans="3:4">
      <c r="C45" s="496" t="s">
        <v>1191</v>
      </c>
      <c r="D45" s="362">
        <f>'[2]UPGRADES - MALVERN RANGE'!$M$42/2*2</f>
        <v>280</v>
      </c>
    </row>
    <row r="46" spans="3:4">
      <c r="C46" s="496" t="s">
        <v>1192</v>
      </c>
      <c r="D46" s="362">
        <f>'[2]UPGRADES - MALVERN RANGE'!$M$42/2*3</f>
        <v>420</v>
      </c>
    </row>
    <row r="47" spans="3:4">
      <c r="C47" s="496" t="str">
        <f>'[2]UPGRADES - MALVERN RANGE'!$B$43</f>
        <v>Tiled recess shelves</v>
      </c>
      <c r="D47" s="362">
        <f>'[2]UPGRADES - MALVERN RANGE'!$M$43</f>
        <v>800</v>
      </c>
    </row>
    <row r="48" spans="3:4">
      <c r="C48" s="496" t="str">
        <f>'[2]UPGRADES - MALVERN RANGE'!$B$44</f>
        <v>Extend tiles to 2m high on vanity wall</v>
      </c>
      <c r="D48" s="362">
        <f>'[2]UPGRADES - MALVERN RANGE'!$M$44</f>
        <v>500</v>
      </c>
    </row>
    <row r="49" spans="3:4">
      <c r="C49" s="496" t="str">
        <f>'[2]UPGRADES - MALVERN RANGE'!$B$45</f>
        <v>Extend tiles to 2m high on remaining three walls</v>
      </c>
      <c r="D49" s="362">
        <f>'[2]UPGRADES - MALVERN RANGE'!$M$45</f>
        <v>2000</v>
      </c>
    </row>
    <row r="50" spans="3:4">
      <c r="D50" s="515"/>
    </row>
    <row r="51" spans="3:4">
      <c r="C51" s="18" t="s">
        <v>1118</v>
      </c>
      <c r="D51" s="515"/>
    </row>
    <row r="52" spans="3:4">
      <c r="C52" s="496" t="str">
        <f>'[2]UPGRADES - MALVERN RANGE'!$B$47</f>
        <v>1200mm Laminate benchtop &amp; cupboards</v>
      </c>
      <c r="D52" s="362">
        <f>'[2]UPGRADES - MALVERN RANGE'!$M$47</f>
        <v>1680</v>
      </c>
    </row>
    <row r="53" spans="3:4">
      <c r="C53" s="496" t="str">
        <f>'[2]UPGRADES - MALVERN RANGE'!$B$48</f>
        <v>Extend laminate benchtop only by 750mm with powerpoint</v>
      </c>
      <c r="D53" s="362">
        <f>'[2]UPGRADES - MALVERN RANGE'!$M$48</f>
        <v>525</v>
      </c>
    </row>
    <row r="54" spans="3:4">
      <c r="C54" s="496" t="str">
        <f>'[2]UPGRADES - MALVERN RANGE'!$B$49</f>
        <v>1200mm Overhead cupboards</v>
      </c>
      <c r="D54" s="362">
        <f>'[2]UPGRADES - MALVERN RANGE'!$M$49</f>
        <v>1040</v>
      </c>
    </row>
    <row r="55" spans="3:4">
      <c r="C55" s="496" t="str">
        <f>'[2]UPGRADES - MALVERN RANGE'!$B$50</f>
        <v>750mm Overhead cupboards</v>
      </c>
      <c r="D55" s="362">
        <f>'[2]UPGRADES - MALVERN RANGE'!$M$50</f>
        <v>765</v>
      </c>
    </row>
    <row r="56" spans="3:4">
      <c r="C56" s="496" t="str">
        <f>'[2]UPGRADES - MALVERN RANGE'!$B$51</f>
        <v>Hanging rail under overheads</v>
      </c>
      <c r="D56" s="362">
        <f>'[2]UPGRADES - MALVERN RANGE'!$M$51</f>
        <v>300</v>
      </c>
    </row>
    <row r="57" spans="3:4">
      <c r="C57" s="496" t="str">
        <f>'[2]UPGRADES - MALVERN RANGE'!$B$52</f>
        <v>Pullout laundry basket with drawer</v>
      </c>
      <c r="D57" s="362">
        <f>'[2]UPGRADES - MALVERN RANGE'!$M$52</f>
        <v>235</v>
      </c>
    </row>
    <row r="58" spans="3:4">
      <c r="D58" s="515"/>
    </row>
    <row r="59" spans="3:4">
      <c r="C59" s="18" t="s">
        <v>1214</v>
      </c>
      <c r="D59" s="515"/>
    </row>
    <row r="60" spans="3:4">
      <c r="C60" s="496" t="str">
        <f>'[2]UPGRADES - MALVERN RANGE'!$B$54</f>
        <v>Eaves to whole home</v>
      </c>
      <c r="D60" s="362">
        <f>'[2]UPGRADES - MALVERN RANGE'!$M$54</f>
        <v>5600</v>
      </c>
    </row>
    <row r="61" spans="3:4">
      <c r="C61" s="496" t="str">
        <f>'[2]UPGRADES - MALVERN RANGE'!$B$55</f>
        <v>2550mm ceiling</v>
      </c>
      <c r="D61" s="362">
        <f>'[2]UPGRADES - MALVERN RANGE'!$M$55</f>
        <v>4200</v>
      </c>
    </row>
    <row r="62" spans="3:4">
      <c r="C62" s="496" t="str">
        <f>'[2]UPGRADES - MALVERN RANGE'!$B$56</f>
        <v>Add 2100h x 2400w roller door</v>
      </c>
      <c r="D62" s="362">
        <f>'[2]UPGRADES - MALVERN RANGE'!$M$56</f>
        <v>1670</v>
      </c>
    </row>
    <row r="63" spans="3:4">
      <c r="D63" s="515"/>
    </row>
    <row r="64" spans="3:4">
      <c r="C64" s="18" t="s">
        <v>1119</v>
      </c>
      <c r="D64" s="515"/>
    </row>
    <row r="65" spans="3:4">
      <c r="C65" s="18" t="s">
        <v>1120</v>
      </c>
      <c r="D65" s="515"/>
    </row>
    <row r="66" spans="3:4">
      <c r="C66" s="496" t="str">
        <f>'[2]UPGRADES - MALVERN RANGE'!$B$59</f>
        <v>Double glazing to whole home (please note: all windows will be awning)</v>
      </c>
      <c r="D66" s="362">
        <f>'[2]UPGRADES - MALVERN RANGE'!$M$59</f>
        <v>4950</v>
      </c>
    </row>
    <row r="67" spans="3:4">
      <c r="C67" s="496" t="str">
        <f>'[2]UPGRADES - MALVERN RANGE'!$B$60</f>
        <v>Sliding door in lieu of swing</v>
      </c>
      <c r="D67" s="362">
        <f>'[2]UPGRADES - MALVERN RANGE'!$M$60</f>
        <v>200</v>
      </c>
    </row>
    <row r="68" spans="3:4">
      <c r="C68" s="496" t="str">
        <f>'[2]UPGRADES - MALVERN RANGE'!$B$61</f>
        <v>Wall mounted clothesline</v>
      </c>
      <c r="D68" s="362">
        <f>'[2]UPGRADES - MALVERN RANGE'!$M$61</f>
        <v>400</v>
      </c>
    </row>
    <row r="69" spans="3:4">
      <c r="C69" s="496" t="str">
        <f>'[2]UPGRADES - MALVERN RANGE'!$B$62</f>
        <v>Letterbox</v>
      </c>
      <c r="D69" s="362">
        <f>'[2]UPGRADES - MALVERN RANGE'!$M$62</f>
        <v>350</v>
      </c>
    </row>
    <row r="70" spans="3:4">
      <c r="C70" s="496" t="str">
        <f>'[2]UPGRADES - MALVERN RANGE'!$B$63</f>
        <v>Newington front door</v>
      </c>
      <c r="D70" s="362">
        <f>'[2]UPGRADES - MALVERN RANGE'!$M$63</f>
        <v>300</v>
      </c>
    </row>
    <row r="71" spans="3:4">
      <c r="C71" s="496" t="str">
        <f>'[2]UPGRADES - MALVERN RANGE'!$B$64</f>
        <v>Nexion front door handle</v>
      </c>
      <c r="D71" s="362">
        <f>'[2]UPGRADES - MALVERN RANGE'!$M$64</f>
        <v>175</v>
      </c>
    </row>
    <row r="72" spans="3:4">
      <c r="C72" s="496" t="str">
        <f>'[2]UPGRADES - MALVERN RANGE'!$B$65</f>
        <v>Brick Upgrade</v>
      </c>
      <c r="D72" s="362">
        <f>'[2]UPGRADES - MALVERN RANGE'!$M$65</f>
        <v>720</v>
      </c>
    </row>
    <row r="73" spans="3:4">
      <c r="D73" s="515"/>
    </row>
    <row r="74" spans="3:4">
      <c r="C74" s="18" t="s">
        <v>1121</v>
      </c>
      <c r="D74" s="515"/>
    </row>
    <row r="75" spans="3:4">
      <c r="C75" s="496" t="str">
        <f>'[2]UPGRADES - MALVERN RANGE'!$B$67</f>
        <v>Internal door - single doors each</v>
      </c>
      <c r="D75" s="362">
        <f>'[2]UPGRADES - MALVERN RANGE'!$M$67</f>
        <v>475</v>
      </c>
    </row>
    <row r="76" spans="3:4">
      <c r="C76" s="496" t="str">
        <f>'[2]UPGRADES - MALVERN RANGE'!$B$68</f>
        <v>Internal door - double doors each</v>
      </c>
      <c r="D76" s="362">
        <f>'[2]UPGRADES - MALVERN RANGE'!$M$68</f>
        <v>1480</v>
      </c>
    </row>
    <row r="77" spans="3:4">
      <c r="C77" s="496" t="str">
        <f>'[2]UPGRADES - MALVERN RANGE'!$B$69</f>
        <v>2340mm high internal doors &amp; robe/linen doors</v>
      </c>
      <c r="D77" s="362">
        <f>'[2]UPGRADES - MALVERN RANGE'!$M$69</f>
        <v>1470</v>
      </c>
    </row>
    <row r="78" spans="3:4">
      <c r="C78" s="496" t="str">
        <f>'[2]UPGRADES - MALVERN RANGE'!$B$70</f>
        <v>Single roller blinds</v>
      </c>
      <c r="D78" s="362">
        <f>'[2]UPGRADES - MALVERN RANGE'!$M$70</f>
        <v>3000</v>
      </c>
    </row>
    <row r="79" spans="3:4">
      <c r="D79" s="515"/>
    </row>
    <row r="80" spans="3:4">
      <c r="C80" s="18" t="s">
        <v>509</v>
      </c>
      <c r="D80" s="515"/>
    </row>
    <row r="81" spans="3:4">
      <c r="C81" s="233" t="s">
        <v>1153</v>
      </c>
      <c r="D81" s="362">
        <f>'[2]UPGRADES - MALVERN RANGE'!$M$72</f>
        <v>50</v>
      </c>
    </row>
    <row r="82" spans="3:4">
      <c r="C82" s="233" t="s">
        <v>1154</v>
      </c>
      <c r="D82" s="362">
        <f>'[2]UPGRADES - MALVERN RANGE'!$M$72*2</f>
        <v>100</v>
      </c>
    </row>
    <row r="83" spans="3:4">
      <c r="C83" s="233" t="s">
        <v>1155</v>
      </c>
      <c r="D83" s="362">
        <f>'[2]UPGRADES - MALVERN RANGE'!$M$72*3</f>
        <v>150</v>
      </c>
    </row>
    <row r="84" spans="3:4">
      <c r="C84" s="233" t="s">
        <v>1156</v>
      </c>
      <c r="D84" s="362">
        <f>'[2]UPGRADES - MALVERN RANGE'!$M$72*2</f>
        <v>100</v>
      </c>
    </row>
    <row r="85" spans="3:4">
      <c r="C85" s="233" t="s">
        <v>1157</v>
      </c>
      <c r="D85" s="362">
        <f>'[2]UPGRADES - MALVERN RANGE'!$M$72*4</f>
        <v>200</v>
      </c>
    </row>
    <row r="86" spans="3:4">
      <c r="C86" s="233" t="s">
        <v>1158</v>
      </c>
      <c r="D86" s="362">
        <f>'[2]UPGRADES - MALVERN RANGE'!$M$72*6</f>
        <v>300</v>
      </c>
    </row>
    <row r="87" spans="3:4">
      <c r="C87" s="233" t="s">
        <v>1159</v>
      </c>
      <c r="D87" s="362">
        <f>'[2]UPGRADES - MALVERN RANGE'!$M$73</f>
        <v>185</v>
      </c>
    </row>
    <row r="88" spans="3:4">
      <c r="C88" s="233" t="s">
        <v>1171</v>
      </c>
      <c r="D88" s="362">
        <f>'[2]UPGRADES - MALVERN RANGE'!$M$73*2</f>
        <v>370</v>
      </c>
    </row>
    <row r="89" spans="3:4">
      <c r="C89" s="233" t="s">
        <v>1172</v>
      </c>
      <c r="D89" s="362">
        <f>'[2]UPGRADES - MALVERN RANGE'!$M$73*3</f>
        <v>555</v>
      </c>
    </row>
    <row r="90" spans="3:4">
      <c r="C90" s="233" t="s">
        <v>1173</v>
      </c>
      <c r="D90" s="362">
        <f>'[2]UPGRADES - MALVERN RANGE'!$M$73*4</f>
        <v>740</v>
      </c>
    </row>
    <row r="91" spans="3:4">
      <c r="C91" s="233" t="s">
        <v>1174</v>
      </c>
      <c r="D91" s="362">
        <f>'[2]UPGRADES - MALVERN RANGE'!$M$73*5</f>
        <v>925</v>
      </c>
    </row>
    <row r="92" spans="3:4">
      <c r="C92" s="233" t="s">
        <v>1175</v>
      </c>
      <c r="D92" s="362">
        <f>'[2]UPGRADES - MALVERN RANGE'!$M$73*6</f>
        <v>1110</v>
      </c>
    </row>
    <row r="93" spans="3:4">
      <c r="C93" s="233" t="s">
        <v>1165</v>
      </c>
      <c r="D93" s="362">
        <f>'[2]UPGRADES - MALVERN RANGE'!$M$74</f>
        <v>510</v>
      </c>
    </row>
    <row r="94" spans="3:4">
      <c r="C94" s="233" t="s">
        <v>1176</v>
      </c>
      <c r="D94" s="362">
        <f>'[2]UPGRADES - MALVERN RANGE'!$M$74*2</f>
        <v>1020</v>
      </c>
    </row>
    <row r="95" spans="3:4">
      <c r="C95" s="233" t="s">
        <v>1177</v>
      </c>
      <c r="D95" s="362">
        <f>'[2]UPGRADES - MALVERN RANGE'!$M$74*3</f>
        <v>1530</v>
      </c>
    </row>
    <row r="96" spans="3:4">
      <c r="C96" s="233" t="s">
        <v>1178</v>
      </c>
      <c r="D96" s="362">
        <f>'[2]UPGRADES - MALVERN RANGE'!$M$74*4</f>
        <v>2040</v>
      </c>
    </row>
    <row r="97" spans="3:4">
      <c r="C97" s="233" t="s">
        <v>1179</v>
      </c>
      <c r="D97" s="362">
        <f>'[2]UPGRADES - MALVERN RANGE'!$M$74*5</f>
        <v>2550</v>
      </c>
    </row>
    <row r="98" spans="3:4">
      <c r="C98" s="233" t="s">
        <v>1180</v>
      </c>
      <c r="D98" s="362">
        <f>'[2]UPGRADES - MALVERN RANGE'!$M$74*6</f>
        <v>3060</v>
      </c>
    </row>
    <row r="99" spans="3:4">
      <c r="D99" s="515"/>
    </row>
    <row r="100" spans="3:4">
      <c r="C100" s="18" t="s">
        <v>1123</v>
      </c>
      <c r="D100" s="515"/>
    </row>
    <row r="101" spans="3:4">
      <c r="C101" s="496" t="str">
        <f>'[2]UPGRADES - MALVERN RANGE'!$B$76</f>
        <v>600mm stainless steel oven &amp; canopy rangehood and electric cooktop</v>
      </c>
      <c r="D101" s="362">
        <f>'[2]UPGRADES - MALVERN RANGE'!$M$76</f>
        <v>365</v>
      </c>
    </row>
    <row r="102" spans="3:4">
      <c r="C102" s="496" t="str">
        <f>'[2]UPGRADES - MALVERN RANGE'!$B$77</f>
        <v>900mm stainless steel inbuilt oven, cooktop &amp; canopy rangehood</v>
      </c>
      <c r="D102" s="362">
        <f>'[2]UPGRADES - MALVERN RANGE'!$M$77</f>
        <v>1860</v>
      </c>
    </row>
    <row r="103" spans="3:4">
      <c r="C103" s="496" t="str">
        <f>'[2]UPGRADES - MALVERN RANGE'!$B$78</f>
        <v>900mm black inbuilt oven, cooktop &amp; canopy rangehood</v>
      </c>
      <c r="D103" s="362">
        <f>'[2]UPGRADES - MALVERN RANGE'!$M$78</f>
        <v>1870</v>
      </c>
    </row>
    <row r="104" spans="3:4">
      <c r="C104" s="496" t="str">
        <f>'[2]UPGRADES - MALVERN RANGE'!$B$79</f>
        <v>900mm black undermount rangehood in lieu of canopy</v>
      </c>
      <c r="D104" s="362">
        <f>'[2]UPGRADES - MALVERN RANGE'!$M$79</f>
        <v>800</v>
      </c>
    </row>
    <row r="105" spans="3:4">
      <c r="C105" s="496" t="str">
        <f>'[2]UPGRADES - MALVERN RANGE'!$B$80</f>
        <v>900mm stainless steel undermount rangehood in lieu of canopy</v>
      </c>
      <c r="D105" s="362">
        <f>'[2]UPGRADES - MALVERN RANGE'!$M$80</f>
        <v>770</v>
      </c>
    </row>
    <row r="106" spans="3:4">
      <c r="C106" s="496" t="str">
        <f>'[2]UPGRADES - MALVERN RANGE'!$B$81</f>
        <v>Stainless steel dishwasher</v>
      </c>
      <c r="D106" s="362">
        <f>'[2]UPGRADES - MALVERN RANGE'!$M$81</f>
        <v>700</v>
      </c>
    </row>
    <row r="107" spans="3:4">
      <c r="C107" s="496" t="str">
        <f>'[2]UPGRADES - MALVERN RANGE'!$B$82</f>
        <v>Black dishwasher</v>
      </c>
      <c r="D107" s="362">
        <f>'[2]UPGRADES - MALVERN RANGE'!$M$82</f>
        <v>750</v>
      </c>
    </row>
    <row r="108" spans="3:4">
      <c r="C108" s="496" t="str">
        <f>'[2]UPGRADES - MALVERN RANGE'!$B$83</f>
        <v xml:space="preserve">20mm Stone benchtops- Standard </v>
      </c>
      <c r="D108" s="362">
        <f>'[2]UPGRADES - MALVERN RANGE'!$M$83</f>
        <v>3100</v>
      </c>
    </row>
    <row r="109" spans="3:4">
      <c r="C109" s="496" t="str">
        <f>'[2]UPGRADES - MALVERN RANGE'!$B$84</f>
        <v>20mm Stone benchtops - The Everyday Kitchen</v>
      </c>
      <c r="D109" s="362">
        <f>'[2]UPGRADES - MALVERN RANGE'!$M$84</f>
        <v>2980</v>
      </c>
    </row>
    <row r="110" spans="3:4">
      <c r="C110" s="496" t="str">
        <f>'[2]UPGRADES - MALVERN RANGE'!$B$85</f>
        <v>20mm Stone benchtops - The Modern Chef Kitchen</v>
      </c>
      <c r="D110" s="362">
        <f>'[2]UPGRADES - MALVERN RANGE'!$M$85</f>
        <v>4780</v>
      </c>
    </row>
    <row r="111" spans="3:4">
      <c r="C111" s="496" t="str">
        <f>'[2]UPGRADES - MALVERN RANGE'!$B$86</f>
        <v>20mm Stone benchtops - The Premier Meals</v>
      </c>
      <c r="D111" s="362">
        <f>'[2]UPGRADES - MALVERN RANGE'!$M$86</f>
        <v>3325</v>
      </c>
    </row>
    <row r="112" spans="3:4">
      <c r="C112" s="496" t="str">
        <f>'[2]UPGRADES - MALVERN RANGE'!$B$87</f>
        <v>20mm Stone waterfall ends</v>
      </c>
      <c r="D112" s="362">
        <f>'[2]UPGRADES - MALVERN RANGE'!$M$87</f>
        <v>1480</v>
      </c>
    </row>
    <row r="113" spans="3:4">
      <c r="C113" s="496" t="str">
        <f>'[2]UPGRADES - MALVERN RANGE'!$B$88</f>
        <v xml:space="preserve">40mm Stone benchtops- Standard </v>
      </c>
      <c r="D113" s="362">
        <f>'[2]UPGRADES - MALVERN RANGE'!$M$88</f>
        <v>3950</v>
      </c>
    </row>
    <row r="114" spans="3:4">
      <c r="C114" s="496" t="str">
        <f>'[2]UPGRADES - MALVERN RANGE'!$B$89</f>
        <v>40mm Stone benchtops- The Everyday Kitchen</v>
      </c>
      <c r="D114" s="362">
        <f>'[2]UPGRADES - MALVERN RANGE'!$M$89</f>
        <v>3800</v>
      </c>
    </row>
    <row r="115" spans="3:4">
      <c r="C115" s="496" t="str">
        <f>'[2]UPGRADES - MALVERN RANGE'!$B$90</f>
        <v xml:space="preserve">40mm Stone benchtops - The Modern Chef Kitchen </v>
      </c>
      <c r="D115" s="362">
        <f>'[2]UPGRADES - MALVERN RANGE'!$M$90</f>
        <v>5860</v>
      </c>
    </row>
    <row r="116" spans="3:4">
      <c r="C116" s="496" t="str">
        <f>'[2]UPGRADES - MALVERN RANGE'!$B$91</f>
        <v>40mm Stone benchtops - The Premier Meals</v>
      </c>
      <c r="D116" s="362">
        <f>'[2]UPGRADES - MALVERN RANGE'!$M$91</f>
        <v>4235</v>
      </c>
    </row>
    <row r="117" spans="3:4">
      <c r="C117" s="496" t="str">
        <f>'[2]UPGRADES - MALVERN RANGE'!$B$92</f>
        <v>40mm Stone waterfall ends</v>
      </c>
      <c r="D117" s="362">
        <f>'[2]UPGRADES - MALVERN RANGE'!$M$92</f>
        <v>1720</v>
      </c>
    </row>
    <row r="118" spans="3:4">
      <c r="C118" s="496" t="str">
        <f>'[2]UPGRADES - MALVERN RANGE'!$B$93</f>
        <v>Cold water point for fridge</v>
      </c>
      <c r="D118" s="362">
        <f>'[2]UPGRADES - MALVERN RANGE'!$M$93</f>
        <v>200</v>
      </c>
    </row>
    <row r="119" spans="3:4">
      <c r="C119" s="496" t="str">
        <f>'[2]UPGRADES - MALVERN RANGE'!$B$94</f>
        <v>Soft close drawers</v>
      </c>
      <c r="D119" s="362">
        <f>'[2]UPGRADES - MALVERN RANGE'!$M$94</f>
        <v>350</v>
      </c>
    </row>
    <row r="120" spans="3:4">
      <c r="C120" s="496" t="str">
        <f>'[2]UPGRADES - MALVERN RANGE'!$B$95</f>
        <v>Upgrade vegie kitchen mixer in chrome</v>
      </c>
      <c r="D120" s="362">
        <f>'[2]UPGRADES - MALVERN RANGE'!$M$95</f>
        <v>120</v>
      </c>
    </row>
    <row r="121" spans="3:4">
      <c r="C121" s="496" t="str">
        <f>'[2]UPGRADES - MALVERN RANGE'!$B$96</f>
        <v>Upgrade vegie kitchen mixer in black</v>
      </c>
      <c r="D121" s="362">
        <f>'[2]UPGRADES - MALVERN RANGE'!$M$96</f>
        <v>130</v>
      </c>
    </row>
    <row r="122" spans="3:4">
      <c r="C122" s="496" t="str">
        <f>'[2]UPGRADES - MALVERN RANGE'!$B$97</f>
        <v>Double bowl sink</v>
      </c>
      <c r="D122" s="362">
        <f>'[2]UPGRADES - MALVERN RANGE'!$M$97</f>
        <v>350</v>
      </c>
    </row>
    <row r="123" spans="3:4">
      <c r="C123" s="496" t="str">
        <f>'[2]UPGRADES - MALVERN RANGE'!$B$98</f>
        <v>Upgrade cabinetry handles</v>
      </c>
      <c r="D123" s="362">
        <f>'[2]UPGRADES - MALVERN RANGE'!$M$98</f>
        <v>150</v>
      </c>
    </row>
    <row r="124" spans="3:4">
      <c r="D124" s="515"/>
    </row>
    <row r="125" spans="3:4">
      <c r="C125" s="18" t="s">
        <v>1117</v>
      </c>
      <c r="D125" s="515"/>
    </row>
    <row r="126" spans="3:4">
      <c r="C126" s="496" t="str">
        <f>'[2]UPGRADES - MALVERN RANGE'!$B$100</f>
        <v>Upgrade tapware and accessories to Winton in chrome</v>
      </c>
      <c r="D126" s="362">
        <f>'[2]UPGRADES - MALVERN RANGE'!$M$100</f>
        <v>630</v>
      </c>
    </row>
    <row r="127" spans="3:4">
      <c r="C127" s="496" t="str">
        <f>'[2]UPGRADES - MALVERN RANGE'!$B$101</f>
        <v>Upgrade tapware and accessories to Winton in black</v>
      </c>
      <c r="D127" s="362">
        <f>'[2]UPGRADES - MALVERN RANGE'!$M$101</f>
        <v>700</v>
      </c>
    </row>
    <row r="128" spans="3:4">
      <c r="C128" s="496" t="str">
        <f>'[2]UPGRADES - MALVERN RANGE'!$B$102</f>
        <v>Dual shower heads</v>
      </c>
      <c r="D128" s="362">
        <f>'[2]UPGRADES - MALVERN RANGE'!$M$102</f>
        <v>440</v>
      </c>
    </row>
    <row r="129" spans="3:4">
      <c r="C129" s="496" t="str">
        <f>'[2]UPGRADES - MALVERN RANGE'!$B$103</f>
        <v>Upgrade vanity basins</v>
      </c>
      <c r="D129" s="362">
        <f>'[2]UPGRADES - MALVERN RANGE'!$M$103</f>
        <v>300</v>
      </c>
    </row>
    <row r="130" spans="3:4">
      <c r="C130" s="496" t="str">
        <f>'[2]UPGRADES - MALVERN RANGE'!$B$104</f>
        <v>20mm Stone benchtops</v>
      </c>
      <c r="D130" s="362">
        <f>'[2]UPGRADES - MALVERN RANGE'!$M$104</f>
        <v>900</v>
      </c>
    </row>
    <row r="131" spans="3:4">
      <c r="C131" s="496" t="str">
        <f>'[2]UPGRADES - MALVERN RANGE'!$B$105</f>
        <v>Additional towel rails</v>
      </c>
      <c r="D131" s="362">
        <f>'[2]UPGRADES - MALVERN RANGE'!$M$105</f>
        <v>160</v>
      </c>
    </row>
    <row r="132" spans="3:4">
      <c r="C132" s="496" t="str">
        <f>'[2]UPGRADES - MALVERN RANGE'!$B$106</f>
        <v>Upgrade cabinetry handles including laundry</v>
      </c>
      <c r="D132" s="362">
        <f>'[2]UPGRADES - MALVERN RANGE'!$M$106</f>
        <v>105</v>
      </c>
    </row>
    <row r="133" spans="3:4">
      <c r="D133" s="515"/>
    </row>
    <row r="134" spans="3:4">
      <c r="C134" s="18" t="s">
        <v>506</v>
      </c>
      <c r="D134" s="515"/>
    </row>
    <row r="135" spans="3:4">
      <c r="C135" s="496" t="str">
        <f>'[2]UPGRADES - MALVERN RANGE'!$B$131</f>
        <v>Downlight Pack 1: Entry &amp; Family room</v>
      </c>
      <c r="D135" s="362">
        <f>'[2]UPGRADES - MALVERN RANGE'!$M$131</f>
        <v>1550</v>
      </c>
    </row>
    <row r="136" spans="3:4">
      <c r="C136" s="496" t="str">
        <f>'[2]UPGRADES - MALVERN RANGE'!$B$132</f>
        <v>Downlight Pack 2: Whole home</v>
      </c>
      <c r="D136" s="362">
        <f>'[2]UPGRADES - MALVERN RANGE'!$M$132</f>
        <v>2440</v>
      </c>
    </row>
    <row r="137" spans="3:4">
      <c r="C137" s="496" t="str">
        <f>'[2]UPGRADES - MALVERN RANGE'!$B$133</f>
        <v>External Pack 1: Downlights to porch &amp; front eave</v>
      </c>
      <c r="D137" s="362">
        <f>'[2]UPGRADES - MALVERN RANGE'!$M$133</f>
        <v>160</v>
      </c>
    </row>
    <row r="138" spans="3:4">
      <c r="C138" s="496" t="str">
        <f>'[2]UPGRADES - MALVERN RANGE'!$B$134</f>
        <v>External Pack 2: 2 x Up/down lights, 2 downlights to outdoor living &amp; 2 floodlights</v>
      </c>
      <c r="D138" s="362">
        <f>'[2]UPGRADES - MALVERN RANGE'!$M$134</f>
        <v>1175</v>
      </c>
    </row>
    <row r="139" spans="3:4">
      <c r="C139" s="496" t="str">
        <f>'[2]UPGRADES - MALVERN RANGE'!$B$135</f>
        <v>Pendant Pack: 3 Pendants to island bench</v>
      </c>
      <c r="D139" s="362">
        <f>'[2]UPGRADES - MALVERN RANGE'!$M$135</f>
        <v>1160</v>
      </c>
    </row>
    <row r="140" spans="3:4">
      <c r="C140" s="496" t="str">
        <f>'[2]UPGRADES - MALVERN RANGE'!$B$136</f>
        <v>Fan Pack 1: Ceiling fans to all bedrooms</v>
      </c>
      <c r="D140" s="362">
        <f>'[2]UPGRADES - MALVERN RANGE'!$M$136</f>
        <v>2500</v>
      </c>
    </row>
    <row r="141" spans="3:4">
      <c r="C141" s="496" t="str">
        <f>'[2]UPGRADES - MALVERN RANGE'!$B$137</f>
        <v>Fan Pack 2: Ceiling fans to living areas</v>
      </c>
      <c r="D141" s="362">
        <f>'[2]UPGRADES - MALVERN RANGE'!$M$137</f>
        <v>1860</v>
      </c>
    </row>
    <row r="142" spans="3:4">
      <c r="C142" s="496" t="str">
        <f>'[2]UPGRADES - MALVERN RANGE'!$B$138</f>
        <v>Fan Pack 3: Ceiling fan to outdoor living</v>
      </c>
      <c r="D142" s="362">
        <f>'[2]UPGRADES - MALVERN RANGE'!$M$138</f>
        <v>620</v>
      </c>
    </row>
    <row r="143" spans="3:4">
      <c r="C143" s="496" t="str">
        <f>'[2]UPGRADES - MALVERN RANGE'!$B$139</f>
        <v>TV antenna</v>
      </c>
      <c r="D143" s="362">
        <f>'[2]UPGRADES - MALVERN RANGE'!$M$139</f>
        <v>590</v>
      </c>
    </row>
    <row r="144" spans="3:4">
      <c r="C144" s="496" t="str">
        <f>'[2]UPGRADES - MALVERN RANGE'!$B$140</f>
        <v>TV Pack: 2 x TV points &amp; 2 x double powerpoints</v>
      </c>
      <c r="D144" s="362">
        <f>'[2]UPGRADES - MALVERN RANGE'!$M$140</f>
        <v>340</v>
      </c>
    </row>
    <row r="145" spans="3:6">
      <c r="C145" s="496" t="str">
        <f>'[2]UPGRADES - MALVERN RANGE'!$B$141</f>
        <v>Powerpoint Pack 1: 5 x Double powerpoints</v>
      </c>
      <c r="D145" s="362">
        <f>'[2]UPGRADES - MALVERN RANGE'!$M$141</f>
        <v>430</v>
      </c>
    </row>
    <row r="146" spans="3:6">
      <c r="C146" s="496" t="str">
        <f>'[2]UPGRADES - MALVERN RANGE'!$B$142</f>
        <v>Powerpoint Pack 2: 10 x Double powerpoints</v>
      </c>
      <c r="D146" s="362">
        <f>'[2]UPGRADES - MALVERN RANGE'!$M$142</f>
        <v>850</v>
      </c>
    </row>
    <row r="147" spans="3:6">
      <c r="D147" s="515"/>
    </row>
    <row r="148" spans="3:6">
      <c r="C148" s="18" t="s">
        <v>1124</v>
      </c>
      <c r="D148" s="515"/>
    </row>
    <row r="149" spans="3:6">
      <c r="C149" s="496" t="str">
        <f>'[2]UPGRADES - MALVERN RANGE'!$B$122</f>
        <v>1 x Additional split system - (3.5kw)</v>
      </c>
      <c r="D149" s="362">
        <f>'[2]UPGRADES - MALVERN RANGE'!$M$122</f>
        <v>3200</v>
      </c>
    </row>
    <row r="150" spans="3:6">
      <c r="C150" s="233" t="s">
        <v>1188</v>
      </c>
      <c r="D150" s="362">
        <f>'[2]UPGRADES - MALVERN RANGE'!$M$122*2</f>
        <v>6400</v>
      </c>
    </row>
    <row r="151" spans="3:6">
      <c r="C151" s="233" t="s">
        <v>1189</v>
      </c>
      <c r="D151" s="362">
        <f>'[2]UPGRADES - MALVERN RANGE'!$M$122*3</f>
        <v>9600</v>
      </c>
    </row>
    <row r="152" spans="3:6">
      <c r="C152" s="233" t="s">
        <v>1190</v>
      </c>
      <c r="D152" s="362">
        <f>'[2]UPGRADES - MALVERN RANGE'!$M$122*4</f>
        <v>12800</v>
      </c>
    </row>
    <row r="153" spans="3:6">
      <c r="C153" s="496" t="str">
        <f>'[2]UPGRADES - MALVERN RANGE'!$B$123</f>
        <v>Upgrade to reverse cycle ducted system</v>
      </c>
      <c r="D153" s="362">
        <f>'[2]UPGRADES - MALVERN RANGE'!$M$123</f>
        <v>11200</v>
      </c>
    </row>
    <row r="154" spans="3:6">
      <c r="D154" s="515"/>
    </row>
    <row r="155" spans="3:6">
      <c r="C155" s="18" t="s">
        <v>1125</v>
      </c>
      <c r="D155" s="515"/>
    </row>
    <row r="156" spans="3:6">
      <c r="C156" s="496" t="str">
        <f>'[2]UPGRADES - MALVERN RANGE'!$B$125</f>
        <v>Upgrade carpet</v>
      </c>
      <c r="D156" s="362">
        <f>'[2]UPGRADES - MALVERN RANGE'!$M$125</f>
        <v>400</v>
      </c>
    </row>
    <row r="157" spans="3:6">
      <c r="C157" s="496" t="str">
        <f>'[2]UPGRADES - MALVERN RANGE'!$B$126</f>
        <v>Upgrade tiles to wet area floor &amp; walls</v>
      </c>
      <c r="D157" s="362">
        <f>'[2]UPGRADES - MALVERN RANGE'!$M$126</f>
        <v>600</v>
      </c>
    </row>
    <row r="158" spans="3:6">
      <c r="C158" s="496" t="str">
        <f>'[2]UPGRADES - MALVERN RANGE'!$B$127</f>
        <v>Upgrade tiles to main area floors</v>
      </c>
      <c r="D158" s="362">
        <f>'[2]UPGRADES - MALVERN RANGE'!$M$127</f>
        <v>1500</v>
      </c>
    </row>
    <row r="159" spans="3:6">
      <c r="C159" s="496" t="str">
        <f>'[2]UPGRADES - MALVERN RANGE'!$B$128</f>
        <v>Upgrade tiles to kitchen &amp; laundry splashback</v>
      </c>
      <c r="D159" s="362">
        <f>'[2]UPGRADES - MALVERN RANGE'!$M$128</f>
        <v>300</v>
      </c>
      <c r="F159" t="s">
        <v>1126</v>
      </c>
    </row>
    <row r="160" spans="3:6">
      <c r="C160" s="233" t="s">
        <v>1194</v>
      </c>
      <c r="D160" s="362">
        <f>'[2]UPGRADES - MALVERN RANGE'!$M$128+100</f>
        <v>400</v>
      </c>
    </row>
    <row r="161" spans="3:4">
      <c r="C161" s="233" t="s">
        <v>1193</v>
      </c>
      <c r="D161" s="362">
        <f>'[2]UPGRADES - MALVERN RANGE'!$M$128+200</f>
        <v>500</v>
      </c>
    </row>
    <row r="162" spans="3:4">
      <c r="C162" s="496" t="str">
        <f>'[2]UPGRADES - MALVERN RANGE'!$B$129</f>
        <v>Upgrade to vinyl</v>
      </c>
      <c r="D162" s="362">
        <f>'[2]UPGRADES - MALVERN RANGE'!$M$129</f>
        <v>4400</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E12EE-CF08-4CD2-A702-8A898C538EA9}">
  <dimension ref="C3:F180"/>
  <sheetViews>
    <sheetView topLeftCell="A152" workbookViewId="0">
      <selection activeCell="J66" sqref="J66"/>
    </sheetView>
  </sheetViews>
  <sheetFormatPr defaultRowHeight="14.4"/>
  <cols>
    <col min="3" max="3" width="63.88671875" customWidth="1"/>
    <col min="4" max="4" width="11.33203125" style="361" bestFit="1" customWidth="1"/>
  </cols>
  <sheetData>
    <row r="3" spans="3:4">
      <c r="C3" s="18" t="s">
        <v>1112</v>
      </c>
    </row>
    <row r="4" spans="3:4">
      <c r="C4" s="496" t="str">
        <f>'[2]UPGRADES - MALVERN RANGE'!$B$6</f>
        <v>Extend garage by 500mm</v>
      </c>
      <c r="D4" s="362">
        <f>'[2]UPGRADES - MALVERN RANGE'!$N$6</f>
        <v>2500</v>
      </c>
    </row>
    <row r="5" spans="3:4">
      <c r="C5" s="496" t="str">
        <f>'[2]UPGRADES - MALVERN RANGE'!$B$7</f>
        <v>Extend garage by 1000mm</v>
      </c>
      <c r="D5" s="362">
        <f>'[2]UPGRADES - MALVERN RANGE'!$N$7</f>
        <v>5000</v>
      </c>
    </row>
    <row r="6" spans="3:4">
      <c r="C6" s="496" t="str">
        <f>'[2]UPGRADES - MALVERN RANGE'!$B$8</f>
        <v>Outdoor Living - addition 1</v>
      </c>
      <c r="D6" s="362">
        <f>'[2]UPGRADES - MALVERN RANGE'!$N$8</f>
        <v>5900</v>
      </c>
    </row>
    <row r="7" spans="3:4">
      <c r="C7" s="496" t="str">
        <f>'[2]UPGRADES - MALVERN RANGE'!$B$9</f>
        <v>Outdoor Living - brick pier in lieu of steel post</v>
      </c>
      <c r="D7" s="362">
        <f>'[2]UPGRADES - MALVERN RANGE'!$N$9</f>
        <v>800</v>
      </c>
    </row>
    <row r="8" spans="3:4">
      <c r="C8" s="496" t="str">
        <f>'[2]UPGRADES - MALVERN RANGE'!$B$10</f>
        <v xml:space="preserve">Additional concrete - outdoor living </v>
      </c>
      <c r="D8" s="362">
        <f>'[2]UPGRADES - MALVERN RANGE'!$N$10</f>
        <v>1260</v>
      </c>
    </row>
    <row r="9" spans="3:4">
      <c r="C9" s="496" t="str">
        <f>'[2]UPGRADES - MALVERN RANGE'!$B$11</f>
        <v>Outdoor Living - addition 2</v>
      </c>
      <c r="D9" s="362">
        <f>'[2]UPGRADES - MALVERN RANGE'!$N$11</f>
        <v>8100</v>
      </c>
    </row>
    <row r="10" spans="3:4">
      <c r="C10" s="496" t="str">
        <f>'[2]UPGRADES - MALVERN RANGE'!$B$12</f>
        <v>Outdoor Living - brick pier in lieu of steel post</v>
      </c>
      <c r="D10" s="362">
        <f>'[2]UPGRADES - MALVERN RANGE'!$N$12</f>
        <v>800</v>
      </c>
    </row>
    <row r="11" spans="3:4">
      <c r="C11" s="496" t="str">
        <f>'[2]UPGRADES - MALVERN RANGE'!$B$13</f>
        <v xml:space="preserve">Additional concrete- Outdoor living </v>
      </c>
      <c r="D11" s="362">
        <f>'[2]UPGRADES - MALVERN RANGE'!$N$13</f>
        <v>2100</v>
      </c>
    </row>
    <row r="12" spans="3:4">
      <c r="C12" s="496" t="str">
        <f>'[2]UPGRADES - MALVERN RANGE'!$B$14</f>
        <v>Kitchen - The Everyday Kitchen</v>
      </c>
      <c r="D12" s="362">
        <f>'[2]UPGRADES - MALVERN RANGE'!$N$14</f>
        <v>2400</v>
      </c>
    </row>
    <row r="13" spans="3:4">
      <c r="C13" s="496" t="str">
        <f>'[2]UPGRADES - MALVERN RANGE'!$B$15</f>
        <v>Kitchen - The Modern Chef Kitchen</v>
      </c>
      <c r="D13" s="362">
        <f>'[2]UPGRADES - MALVERN RANGE'!$N$15</f>
        <v>5400</v>
      </c>
    </row>
    <row r="14" spans="3:4">
      <c r="C14" s="496" t="str">
        <f>'[2]UPGRADES - MALVERN RANGE'!$B$16</f>
        <v>Ensuite - The Signature Ensuite</v>
      </c>
      <c r="D14" s="362">
        <f>'[2]UPGRADES - MALVERN RANGE'!$N$16</f>
        <v>650</v>
      </c>
    </row>
    <row r="15" spans="3:4">
      <c r="C15" s="496" t="str">
        <f>'[2]UPGRADES - MALVERN RANGE'!$B$17</f>
        <v>Ensuite - The Indulgence Ensuite</v>
      </c>
      <c r="D15" s="362">
        <f>'[2]UPGRADES - MALVERN RANGE'!$N$17</f>
        <v>3500</v>
      </c>
    </row>
    <row r="16" spans="3:4">
      <c r="C16" s="496" t="str">
        <f>'[2]UPGRADES - MALVERN RANGE'!$B$18</f>
        <v>The Premier Meals</v>
      </c>
      <c r="D16" s="362">
        <f>'[2]UPGRADES - MALVERN RANGE'!$N$18</f>
        <v>12120</v>
      </c>
    </row>
    <row r="17" spans="3:4">
      <c r="C17" s="496" t="str">
        <f>'[2]UPGRADES - MALVERN RANGE'!$B$20</f>
        <v>Bed 1 extension - The Grand Suite</v>
      </c>
      <c r="D17" s="362">
        <f>'[2]UPGRADES - MALVERN RANGE'!$N$20</f>
        <v>1950</v>
      </c>
    </row>
    <row r="18" spans="3:4">
      <c r="C18" s="496" t="str">
        <f>'[2]UPGRADES - MALVERN RANGE'!$B$21</f>
        <v>Ensuite 2 &amp; built in robe to Bed 2 - The Guest Ensuite</v>
      </c>
      <c r="D18" s="362">
        <f>'[2]UPGRADES - MALVERN RANGE'!$N$21</f>
        <v>9950</v>
      </c>
    </row>
    <row r="19" spans="3:4">
      <c r="C19" s="496" t="str">
        <f>'[2]UPGRADES - MALVERN RANGE'!$B$22</f>
        <v>1200mm shower to ensuite 2</v>
      </c>
      <c r="D19" s="362">
        <f>'[2]UPGRADES - MALVERN RANGE'!$N$22</f>
        <v>235</v>
      </c>
    </row>
    <row r="21" spans="3:4">
      <c r="C21" s="18" t="s">
        <v>1113</v>
      </c>
    </row>
    <row r="22" spans="3:4">
      <c r="C22" s="233" t="s">
        <v>1114</v>
      </c>
      <c r="D22" s="498" t="s">
        <v>267</v>
      </c>
    </row>
    <row r="23" spans="3:4">
      <c r="C23" s="496" t="str">
        <f>'[2]UPGRADES - MALVERN RANGE'!$B$24</f>
        <v>The Rise Façade</v>
      </c>
      <c r="D23" s="362">
        <f>'[2]UPGRADES - MALVERN RANGE'!$N$24</f>
        <v>6270</v>
      </c>
    </row>
    <row r="24" spans="3:4">
      <c r="C24" s="496" t="str">
        <f>'[2]UPGRADES - MALVERN RANGE'!$B$25</f>
        <v>The Crest Façade</v>
      </c>
      <c r="D24" s="362">
        <f>'[2]UPGRADES - MALVERN RANGE'!$N$25</f>
        <v>9200</v>
      </c>
    </row>
    <row r="25" spans="3:4">
      <c r="C25" s="496" t="str">
        <f>'[2]UPGRADES - MALVERN RANGE'!$B$26</f>
        <v>The Sanctuary Façade</v>
      </c>
      <c r="D25" s="362">
        <f>'[2]UPGRADES - MALVERN RANGE'!$N$26</f>
        <v>9950</v>
      </c>
    </row>
    <row r="26" spans="3:4">
      <c r="C26" s="496" t="str">
        <f>'[2]UPGRADES - MALVERN RANGE'!$B$27</f>
        <v>The Meadow Façade</v>
      </c>
      <c r="D26" s="362">
        <f>'[2]UPGRADES - MALVERN RANGE'!$N$27</f>
        <v>16970</v>
      </c>
    </row>
    <row r="27" spans="3:4">
      <c r="C27" s="496" t="str">
        <f>'[2]UPGRADES - MALVERN RANGE'!$B$28</f>
        <v xml:space="preserve">Double Posts </v>
      </c>
      <c r="D27" s="362">
        <f>'[2]UPGRADES - MALVERN RANGE'!$N$28</f>
        <v>3240</v>
      </c>
    </row>
    <row r="28" spans="3:4">
      <c r="C28" s="496" t="str">
        <f>'[2]UPGRADES - MALVERN RANGE'!$B$29</f>
        <v>Double Posts &amp; 1/2 Bricks Piers</v>
      </c>
      <c r="D28" s="362">
        <f>'[2]UPGRADES - MALVERN RANGE'!$N$29</f>
        <v>9730</v>
      </c>
    </row>
    <row r="30" spans="3:4">
      <c r="C30" s="18" t="s">
        <v>1115</v>
      </c>
    </row>
    <row r="31" spans="3:4">
      <c r="C31" s="18" t="s">
        <v>1116</v>
      </c>
    </row>
    <row r="32" spans="3:4">
      <c r="C32" s="496" t="str">
        <f>'[2]UPGRADES - MALVERN RANGE'!$B$32</f>
        <v>600mm overhead either side of rangehood</v>
      </c>
      <c r="D32" s="362">
        <f>'[2]UPGRADES - MALVERN RANGE'!$N$32</f>
        <v>990</v>
      </c>
    </row>
    <row r="33" spans="3:4">
      <c r="C33" s="496" t="str">
        <f>'[2]UPGRADES - MALVERN RANGE'!$B$33</f>
        <v>Overhead cupboards with integrated rangehood</v>
      </c>
      <c r="D33" s="362">
        <f>'[2]UPGRADES - MALVERN RANGE'!$N$33</f>
        <v>1860</v>
      </c>
    </row>
    <row r="34" spans="3:4">
      <c r="C34" s="496" t="str">
        <f>'[2]UPGRADES - MALVERN RANGE'!$B$34</f>
        <v>Fridge overhead cupboard</v>
      </c>
      <c r="D34" s="362">
        <f>'[2]UPGRADES - MALVERN RANGE'!$N$34</f>
        <v>960</v>
      </c>
    </row>
    <row r="35" spans="3:4">
      <c r="C35" s="233" t="s">
        <v>1147</v>
      </c>
      <c r="D35" s="362">
        <f>'[2]UPGRADES - MALVERN RANGE'!$N$35</f>
        <v>330</v>
      </c>
    </row>
    <row r="36" spans="3:4">
      <c r="C36" s="233" t="s">
        <v>1148</v>
      </c>
      <c r="D36" s="362">
        <f>'[2]UPGRADES - MALVERN RANGE'!$N$35*2</f>
        <v>660</v>
      </c>
    </row>
    <row r="37" spans="3:4">
      <c r="C37" s="233" t="s">
        <v>1149</v>
      </c>
      <c r="D37" s="362">
        <f>'[2]UPGRADES - MALVERN RANGE'!$N$35*3</f>
        <v>990</v>
      </c>
    </row>
    <row r="38" spans="3:4">
      <c r="C38" s="233" t="s">
        <v>1150</v>
      </c>
      <c r="D38" s="362">
        <f>'[2]UPGRADES - MALVERN RANGE'!$N$35*4</f>
        <v>1320</v>
      </c>
    </row>
    <row r="39" spans="3:4">
      <c r="C39" s="233" t="s">
        <v>1151</v>
      </c>
      <c r="D39" s="362">
        <f>'[2]UPGRADES - MALVERN RANGE'!$N$35*5</f>
        <v>1650</v>
      </c>
    </row>
    <row r="40" spans="3:4">
      <c r="C40" s="496" t="str">
        <f>'[2]UPGRADES - MALVERN RANGE'!$B$36</f>
        <v>Microwave cavity with drawer below</v>
      </c>
      <c r="D40" s="362">
        <f>'[2]UPGRADES - MALVERN RANGE'!$N$36</f>
        <v>415</v>
      </c>
    </row>
    <row r="41" spans="3:4">
      <c r="C41" s="496" t="str">
        <f>'[2]UPGRADES - MALVERN RANGE'!$B$37</f>
        <v>Twin bin with drawer below</v>
      </c>
      <c r="D41" s="362">
        <f>'[2]UPGRADES - MALVERN RANGE'!$N$37</f>
        <v>250</v>
      </c>
    </row>
    <row r="42" spans="3:4">
      <c r="C42" s="496" t="str">
        <f>'[2]UPGRADES - MALVERN RANGE'!$B$38</f>
        <v xml:space="preserve">1212 No Bottom Reveal Window </v>
      </c>
      <c r="D42" s="362">
        <f>'[2]UPGRADES - MALVERN RANGE'!$N$38</f>
        <v>390</v>
      </c>
    </row>
    <row r="43" spans="3:4">
      <c r="D43" s="515"/>
    </row>
    <row r="44" spans="3:4">
      <c r="C44" s="18" t="s">
        <v>1117</v>
      </c>
      <c r="D44" s="515"/>
    </row>
    <row r="45" spans="3:4">
      <c r="C45" s="496" t="str">
        <f>'[2]UPGRADES - MALVERN RANGE'!$B$40</f>
        <v>Bank of 3 drawers to vanities</v>
      </c>
      <c r="D45" s="362">
        <f>'[2]UPGRADES - MALVERN RANGE'!$N$40</f>
        <v>660</v>
      </c>
    </row>
    <row r="46" spans="3:4">
      <c r="C46" s="233" t="s">
        <v>1181</v>
      </c>
      <c r="D46" s="362">
        <f>'[2]UPGRADES - MALVERN RANGE'!$N$41*2</f>
        <v>660</v>
      </c>
    </row>
    <row r="47" spans="3:4">
      <c r="C47" s="233" t="s">
        <v>1182</v>
      </c>
      <c r="D47" s="362">
        <f>'[2]UPGRADES - MALVERN RANGE'!$N$41*3</f>
        <v>990</v>
      </c>
    </row>
    <row r="48" spans="3:4">
      <c r="C48" s="496" t="s">
        <v>1191</v>
      </c>
      <c r="D48" s="362">
        <f>'[2]UPGRADES - MALVERN RANGE'!$N$42/2*2</f>
        <v>280</v>
      </c>
    </row>
    <row r="49" spans="3:4">
      <c r="C49" s="496" t="s">
        <v>1192</v>
      </c>
      <c r="D49" s="362">
        <f>'[2]UPGRADES - MALVERN RANGE'!$N$42/2*3</f>
        <v>420</v>
      </c>
    </row>
    <row r="50" spans="3:4">
      <c r="C50" s="496" t="str">
        <f>'[2]UPGRADES - MALVERN RANGE'!$B$43</f>
        <v>Tiled recess shelves</v>
      </c>
      <c r="D50" s="362">
        <f>'[2]UPGRADES - MALVERN RANGE'!$N$43</f>
        <v>800</v>
      </c>
    </row>
    <row r="51" spans="3:4">
      <c r="C51" s="496" t="str">
        <f>'[2]UPGRADES - MALVERN RANGE'!$B$44</f>
        <v>Extend tiles to 2m high on vanity wall</v>
      </c>
      <c r="D51" s="362">
        <f>'[2]UPGRADES - MALVERN RANGE'!$N$44</f>
        <v>1000</v>
      </c>
    </row>
    <row r="52" spans="3:4">
      <c r="C52" s="496" t="str">
        <f>'[2]UPGRADES - MALVERN RANGE'!$B$45</f>
        <v>Extend tiles to 2m high on remaining three walls</v>
      </c>
      <c r="D52" s="362">
        <f>'[2]UPGRADES - MALVERN RANGE'!$N$45</f>
        <v>2680</v>
      </c>
    </row>
    <row r="53" spans="3:4">
      <c r="D53" s="515"/>
    </row>
    <row r="54" spans="3:4">
      <c r="C54" s="18" t="s">
        <v>1118</v>
      </c>
      <c r="D54" s="515"/>
    </row>
    <row r="55" spans="3:4">
      <c r="C55" s="496" t="str">
        <f>'[2]UPGRADES - MALVERN RANGE'!$B$47</f>
        <v>1200mm Laminate benchtop &amp; cupboards</v>
      </c>
      <c r="D55" s="362">
        <f>'[2]UPGRADES - MALVERN RANGE'!$N$47</f>
        <v>1680</v>
      </c>
    </row>
    <row r="56" spans="3:4">
      <c r="C56" s="496" t="str">
        <f>'[2]UPGRADES - MALVERN RANGE'!$B$48</f>
        <v>Extend laminate benchtop only by 750mm with powerpoint</v>
      </c>
      <c r="D56" s="362">
        <f>'[2]UPGRADES - MALVERN RANGE'!$N$48</f>
        <v>525</v>
      </c>
    </row>
    <row r="57" spans="3:4">
      <c r="C57" s="496" t="str">
        <f>'[2]UPGRADES - MALVERN RANGE'!$B$49</f>
        <v>1200mm Overhead cupboards</v>
      </c>
      <c r="D57" s="362">
        <f>'[2]UPGRADES - MALVERN RANGE'!$N$49</f>
        <v>1040</v>
      </c>
    </row>
    <row r="58" spans="3:4">
      <c r="C58" s="496" t="str">
        <f>'[2]UPGRADES - MALVERN RANGE'!$B$50</f>
        <v>750mm Overhead cupboards</v>
      </c>
      <c r="D58" s="362">
        <f>'[2]UPGRADES - MALVERN RANGE'!$N$50</f>
        <v>765</v>
      </c>
    </row>
    <row r="59" spans="3:4">
      <c r="C59" s="496" t="str">
        <f>'[2]UPGRADES - MALVERN RANGE'!$B$51</f>
        <v>Hanging rail under overheads</v>
      </c>
      <c r="D59" s="362">
        <f>'[2]UPGRADES - MALVERN RANGE'!$N$51</f>
        <v>300</v>
      </c>
    </row>
    <row r="60" spans="3:4">
      <c r="C60" s="496" t="str">
        <f>'[2]UPGRADES - MALVERN RANGE'!$B$52</f>
        <v>Pullout laundry basket with drawer</v>
      </c>
      <c r="D60" s="362">
        <f>'[2]UPGRADES - MALVERN RANGE'!$N$52</f>
        <v>235</v>
      </c>
    </row>
    <row r="61" spans="3:4">
      <c r="D61" s="515"/>
    </row>
    <row r="62" spans="3:4">
      <c r="C62" s="18" t="s">
        <v>1214</v>
      </c>
      <c r="D62" s="515"/>
    </row>
    <row r="63" spans="3:4">
      <c r="C63" s="496" t="str">
        <f>'[2]UPGRADES - MALVERN RANGE'!$B$54</f>
        <v>Eaves to whole home</v>
      </c>
      <c r="D63" s="362">
        <f>'[2]UPGRADES - MALVERN RANGE'!$N$54</f>
        <v>5950</v>
      </c>
    </row>
    <row r="64" spans="3:4">
      <c r="C64" s="496" t="str">
        <f>'[2]UPGRADES - MALVERN RANGE'!$B$55</f>
        <v>2550mm ceiling</v>
      </c>
      <c r="D64" s="362">
        <f>'[2]UPGRADES - MALVERN RANGE'!$N$55</f>
        <v>4550</v>
      </c>
    </row>
    <row r="65" spans="3:4">
      <c r="C65" s="496" t="str">
        <f>'[2]UPGRADES - MALVERN RANGE'!$B$56</f>
        <v>Add 2100h x 2400w roller door</v>
      </c>
      <c r="D65" s="362">
        <f>'[2]UPGRADES - MALVERN RANGE'!$N$56</f>
        <v>1670</v>
      </c>
    </row>
    <row r="66" spans="3:4">
      <c r="D66" s="515"/>
    </row>
    <row r="67" spans="3:4">
      <c r="C67" s="18" t="s">
        <v>1119</v>
      </c>
      <c r="D67" s="515"/>
    </row>
    <row r="68" spans="3:4">
      <c r="C68" s="18" t="s">
        <v>1120</v>
      </c>
      <c r="D68" s="515"/>
    </row>
    <row r="69" spans="3:4">
      <c r="C69" s="496" t="str">
        <f>'[2]UPGRADES - MALVERN RANGE'!$B$59</f>
        <v>Double glazing to whole home (please note: all windows will be awning)</v>
      </c>
      <c r="D69" s="362">
        <f>'[2]UPGRADES - MALVERN RANGE'!$N$59</f>
        <v>4850</v>
      </c>
    </row>
    <row r="70" spans="3:4">
      <c r="C70" s="496" t="str">
        <f>'[2]UPGRADES - MALVERN RANGE'!$B$60</f>
        <v>Sliding door in lieu of swing</v>
      </c>
      <c r="D70" s="362">
        <f>'[2]UPGRADES - MALVERN RANGE'!$N$60</f>
        <v>200</v>
      </c>
    </row>
    <row r="71" spans="3:4">
      <c r="C71" s="496" t="str">
        <f>'[2]UPGRADES - MALVERN RANGE'!$B$61</f>
        <v>Wall mounted clothesline</v>
      </c>
      <c r="D71" s="362">
        <f>'[2]UPGRADES - MALVERN RANGE'!$N$61</f>
        <v>400</v>
      </c>
    </row>
    <row r="72" spans="3:4">
      <c r="C72" s="496" t="str">
        <f>'[2]UPGRADES - MALVERN RANGE'!$B$62</f>
        <v>Letterbox</v>
      </c>
      <c r="D72" s="362">
        <f>'[2]UPGRADES - MALVERN RANGE'!$N$62</f>
        <v>350</v>
      </c>
    </row>
    <row r="73" spans="3:4">
      <c r="C73" s="496" t="str">
        <f>'[2]UPGRADES - MALVERN RANGE'!$B$63</f>
        <v>Newington front door</v>
      </c>
      <c r="D73" s="362">
        <f>'[2]UPGRADES - MALVERN RANGE'!$N$63</f>
        <v>300</v>
      </c>
    </row>
    <row r="74" spans="3:4">
      <c r="C74" s="496" t="str">
        <f>'[2]UPGRADES - MALVERN RANGE'!$B$64</f>
        <v>Nexion front door handle</v>
      </c>
      <c r="D74" s="362">
        <f>'[2]UPGRADES - MALVERN RANGE'!$N$64</f>
        <v>175</v>
      </c>
    </row>
    <row r="75" spans="3:4">
      <c r="C75" s="496" t="str">
        <f>'[2]UPGRADES - MALVERN RANGE'!$B$65</f>
        <v>Brick Upgrade</v>
      </c>
      <c r="D75" s="362">
        <f>'[2]UPGRADES - MALVERN RANGE'!$N$65</f>
        <v>720</v>
      </c>
    </row>
    <row r="76" spans="3:4">
      <c r="D76" s="515"/>
    </row>
    <row r="77" spans="3:4">
      <c r="C77" s="18" t="s">
        <v>1121</v>
      </c>
      <c r="D77" s="515"/>
    </row>
    <row r="78" spans="3:4">
      <c r="C78" s="496" t="str">
        <f>'[2]UPGRADES - MALVERN RANGE'!$B$67</f>
        <v>Internal door - single doors each</v>
      </c>
      <c r="D78" s="362">
        <f>'[2]UPGRADES - MALVERN RANGE'!$N$67</f>
        <v>475</v>
      </c>
    </row>
    <row r="79" spans="3:4">
      <c r="C79" s="496" t="str">
        <f>'[2]UPGRADES - MALVERN RANGE'!$B$68</f>
        <v>Internal door - double doors each</v>
      </c>
      <c r="D79" s="362">
        <f>'[2]UPGRADES - MALVERN RANGE'!$N$68</f>
        <v>1480</v>
      </c>
    </row>
    <row r="80" spans="3:4">
      <c r="C80" s="496" t="str">
        <f>'[2]UPGRADES - MALVERN RANGE'!$B$69</f>
        <v>2340mm high internal doors &amp; robe/linen doors</v>
      </c>
      <c r="D80" s="362">
        <f>'[2]UPGRADES - MALVERN RANGE'!$N$69</f>
        <v>2150</v>
      </c>
    </row>
    <row r="81" spans="3:4">
      <c r="C81" s="496" t="str">
        <f>'[2]UPGRADES - MALVERN RANGE'!$B$70</f>
        <v>Single roller blinds</v>
      </c>
      <c r="D81" s="362">
        <f>'[2]UPGRADES - MALVERN RANGE'!$N$70</f>
        <v>3150</v>
      </c>
    </row>
    <row r="82" spans="3:4">
      <c r="D82" s="515"/>
    </row>
    <row r="83" spans="3:4">
      <c r="C83" s="18" t="s">
        <v>509</v>
      </c>
      <c r="D83" s="515"/>
    </row>
    <row r="84" spans="3:4">
      <c r="C84" s="233" t="s">
        <v>1153</v>
      </c>
      <c r="D84" s="362">
        <f>'[2]UPGRADES - MALVERN RANGE'!$N$72</f>
        <v>50</v>
      </c>
    </row>
    <row r="85" spans="3:4">
      <c r="C85" s="233" t="s">
        <v>1154</v>
      </c>
      <c r="D85" s="362">
        <f>'[2]UPGRADES - MALVERN RANGE'!$N$72*2</f>
        <v>100</v>
      </c>
    </row>
    <row r="86" spans="3:4">
      <c r="C86" s="233" t="s">
        <v>1155</v>
      </c>
      <c r="D86" s="362">
        <f>'[2]UPGRADES - MALVERN RANGE'!$N$72*3</f>
        <v>150</v>
      </c>
    </row>
    <row r="87" spans="3:4">
      <c r="C87" s="233" t="s">
        <v>1156</v>
      </c>
      <c r="D87" s="362">
        <f>'[2]UPGRADES - MALVERN RANGE'!$N$72*2</f>
        <v>100</v>
      </c>
    </row>
    <row r="88" spans="3:4">
      <c r="C88" s="233" t="s">
        <v>1157</v>
      </c>
      <c r="D88" s="362">
        <f>'[2]UPGRADES - MALVERN RANGE'!$N$72*4</f>
        <v>200</v>
      </c>
    </row>
    <row r="89" spans="3:4">
      <c r="C89" s="233" t="s">
        <v>1158</v>
      </c>
      <c r="D89" s="362">
        <f>'[2]UPGRADES - MALVERN RANGE'!$N$72*6</f>
        <v>300</v>
      </c>
    </row>
    <row r="90" spans="3:4">
      <c r="C90" s="233" t="s">
        <v>1159</v>
      </c>
      <c r="D90" s="362">
        <f>'[2]UPGRADES - MALVERN RANGE'!$N$73</f>
        <v>185</v>
      </c>
    </row>
    <row r="91" spans="3:4">
      <c r="C91" s="233" t="s">
        <v>1171</v>
      </c>
      <c r="D91" s="362">
        <f>'[2]UPGRADES - MALVERN RANGE'!$N$73*2</f>
        <v>370</v>
      </c>
    </row>
    <row r="92" spans="3:4">
      <c r="C92" s="233" t="s">
        <v>1172</v>
      </c>
      <c r="D92" s="362">
        <f>'[2]UPGRADES - MALVERN RANGE'!$N$73*3</f>
        <v>555</v>
      </c>
    </row>
    <row r="93" spans="3:4">
      <c r="C93" s="233" t="s">
        <v>1173</v>
      </c>
      <c r="D93" s="362">
        <f>'[2]UPGRADES - MALVERN RANGE'!$N$73*4</f>
        <v>740</v>
      </c>
    </row>
    <row r="94" spans="3:4">
      <c r="C94" s="233" t="s">
        <v>1174</v>
      </c>
      <c r="D94" s="362">
        <f>'[2]UPGRADES - MALVERN RANGE'!$N$73*5</f>
        <v>925</v>
      </c>
    </row>
    <row r="95" spans="3:4">
      <c r="C95" s="233" t="s">
        <v>1175</v>
      </c>
      <c r="D95" s="362">
        <f>'[2]UPGRADES - MALVERN RANGE'!$N$73*6</f>
        <v>1110</v>
      </c>
    </row>
    <row r="96" spans="3:4">
      <c r="C96" s="233" t="s">
        <v>1165</v>
      </c>
      <c r="D96" s="362">
        <f>'[2]UPGRADES - MALVERN RANGE'!$N$74</f>
        <v>510</v>
      </c>
    </row>
    <row r="97" spans="3:4">
      <c r="C97" s="233" t="s">
        <v>1176</v>
      </c>
      <c r="D97" s="362">
        <f>'[2]UPGRADES - MALVERN RANGE'!$N$74*2</f>
        <v>1020</v>
      </c>
    </row>
    <row r="98" spans="3:4">
      <c r="C98" s="233" t="s">
        <v>1177</v>
      </c>
      <c r="D98" s="362">
        <f>'[2]UPGRADES - MALVERN RANGE'!$N$74*3</f>
        <v>1530</v>
      </c>
    </row>
    <row r="99" spans="3:4">
      <c r="C99" s="233" t="s">
        <v>1178</v>
      </c>
      <c r="D99" s="362">
        <f>'[2]UPGRADES - MALVERN RANGE'!$N$74*4</f>
        <v>2040</v>
      </c>
    </row>
    <row r="100" spans="3:4">
      <c r="C100" s="233" t="s">
        <v>1179</v>
      </c>
      <c r="D100" s="362">
        <f>'[2]UPGRADES - MALVERN RANGE'!$N$74*5</f>
        <v>2550</v>
      </c>
    </row>
    <row r="101" spans="3:4">
      <c r="C101" s="233" t="s">
        <v>1180</v>
      </c>
      <c r="D101" s="362">
        <f>'[2]UPGRADES - MALVERN RANGE'!$N$74*6</f>
        <v>3060</v>
      </c>
    </row>
    <row r="102" spans="3:4">
      <c r="D102" s="515"/>
    </row>
    <row r="103" spans="3:4">
      <c r="C103" s="18" t="s">
        <v>1123</v>
      </c>
      <c r="D103" s="515"/>
    </row>
    <row r="104" spans="3:4">
      <c r="C104" s="496" t="str">
        <f>'[2]UPGRADES - MALVERN RANGE'!$B$76</f>
        <v>600mm stainless steel oven &amp; canopy rangehood and electric cooktop</v>
      </c>
      <c r="D104" s="362">
        <f>'[2]UPGRADES - MALVERN RANGE'!$N$76</f>
        <v>365</v>
      </c>
    </row>
    <row r="105" spans="3:4">
      <c r="C105" s="496" t="str">
        <f>'[2]UPGRADES - MALVERN RANGE'!$B$77</f>
        <v>900mm stainless steel inbuilt oven, cooktop &amp; canopy rangehood</v>
      </c>
      <c r="D105" s="362">
        <f>'[2]UPGRADES - MALVERN RANGE'!$N$77</f>
        <v>1860</v>
      </c>
    </row>
    <row r="106" spans="3:4">
      <c r="C106" s="496" t="str">
        <f>'[2]UPGRADES - MALVERN RANGE'!$B$78</f>
        <v>900mm black inbuilt oven, cooktop &amp; canopy rangehood</v>
      </c>
      <c r="D106" s="362">
        <f>'[2]UPGRADES - MALVERN RANGE'!$N$78</f>
        <v>1870</v>
      </c>
    </row>
    <row r="107" spans="3:4">
      <c r="C107" s="496" t="str">
        <f>'[2]UPGRADES - MALVERN RANGE'!$B$79</f>
        <v>900mm black undermount rangehood in lieu of canopy</v>
      </c>
      <c r="D107" s="362">
        <f>'[2]UPGRADES - MALVERN RANGE'!$N$79</f>
        <v>800</v>
      </c>
    </row>
    <row r="108" spans="3:4">
      <c r="C108" s="496" t="str">
        <f>'[2]UPGRADES - MALVERN RANGE'!$B$80</f>
        <v>900mm stainless steel undermount rangehood in lieu of canopy</v>
      </c>
      <c r="D108" s="362">
        <f>'[2]UPGRADES - MALVERN RANGE'!$N$80</f>
        <v>770</v>
      </c>
    </row>
    <row r="109" spans="3:4">
      <c r="C109" s="496" t="str">
        <f>'[2]UPGRADES - MALVERN RANGE'!$B$81</f>
        <v>Stainless steel dishwasher</v>
      </c>
      <c r="D109" s="362">
        <f>'[2]UPGRADES - MALVERN RANGE'!$N$81</f>
        <v>700</v>
      </c>
    </row>
    <row r="110" spans="3:4">
      <c r="C110" s="496" t="str">
        <f>'[2]UPGRADES - MALVERN RANGE'!$B$82</f>
        <v>Black dishwasher</v>
      </c>
      <c r="D110" s="362">
        <f>'[2]UPGRADES - MALVERN RANGE'!$N$82</f>
        <v>750</v>
      </c>
    </row>
    <row r="111" spans="3:4">
      <c r="C111" s="496" t="str">
        <f>'[2]UPGRADES - MALVERN RANGE'!$B$83</f>
        <v xml:space="preserve">20mm Stone benchtops- Standard </v>
      </c>
      <c r="D111" s="362">
        <f>'[2]UPGRADES - MALVERN RANGE'!$N$83</f>
        <v>3100</v>
      </c>
    </row>
    <row r="112" spans="3:4">
      <c r="C112" s="496" t="str">
        <f>'[2]UPGRADES - MALVERN RANGE'!$B$84</f>
        <v>20mm Stone benchtops - The Everyday Kitchen</v>
      </c>
      <c r="D112" s="362">
        <f>'[2]UPGRADES - MALVERN RANGE'!$N$84</f>
        <v>2980</v>
      </c>
    </row>
    <row r="113" spans="3:4">
      <c r="C113" s="496" t="str">
        <f>'[2]UPGRADES - MALVERN RANGE'!$B$85</f>
        <v>20mm Stone benchtops - The Modern Chef Kitchen</v>
      </c>
      <c r="D113" s="362">
        <f>'[2]UPGRADES - MALVERN RANGE'!$N$85</f>
        <v>4780</v>
      </c>
    </row>
    <row r="114" spans="3:4">
      <c r="C114" s="496" t="str">
        <f>'[2]UPGRADES - MALVERN RANGE'!$B$86</f>
        <v>20mm Stone benchtops - The Premier Meals</v>
      </c>
      <c r="D114" s="362">
        <f>'[2]UPGRADES - MALVERN RANGE'!$N$86</f>
        <v>3325</v>
      </c>
    </row>
    <row r="115" spans="3:4">
      <c r="C115" s="496" t="str">
        <f>'[2]UPGRADES - MALVERN RANGE'!$B$87</f>
        <v>20mm Stone waterfall ends</v>
      </c>
      <c r="D115" s="362">
        <f>'[2]UPGRADES - MALVERN RANGE'!$N$87</f>
        <v>1480</v>
      </c>
    </row>
    <row r="116" spans="3:4">
      <c r="C116" s="496" t="str">
        <f>'[2]UPGRADES - MALVERN RANGE'!$B$88</f>
        <v xml:space="preserve">40mm Stone benchtops- Standard </v>
      </c>
      <c r="D116" s="362">
        <f>'[2]UPGRADES - MALVERN RANGE'!$N$88</f>
        <v>3950</v>
      </c>
    </row>
    <row r="117" spans="3:4">
      <c r="C117" s="496" t="str">
        <f>'[2]UPGRADES - MALVERN RANGE'!$B$89</f>
        <v>40mm Stone benchtops- The Everyday Kitchen</v>
      </c>
      <c r="D117" s="362">
        <f>'[2]UPGRADES - MALVERN RANGE'!$N$89</f>
        <v>3800</v>
      </c>
    </row>
    <row r="118" spans="3:4">
      <c r="C118" s="496" t="str">
        <f>'[2]UPGRADES - MALVERN RANGE'!$B$90</f>
        <v xml:space="preserve">40mm Stone benchtops - The Modern Chef Kitchen </v>
      </c>
      <c r="D118" s="362">
        <f>'[2]UPGRADES - MALVERN RANGE'!$N$90</f>
        <v>5860</v>
      </c>
    </row>
    <row r="119" spans="3:4">
      <c r="C119" s="496" t="str">
        <f>'[2]UPGRADES - MALVERN RANGE'!$B$91</f>
        <v>40mm Stone benchtops - The Premier Meals</v>
      </c>
      <c r="D119" s="362">
        <f>'[2]UPGRADES - MALVERN RANGE'!$N$91</f>
        <v>4235</v>
      </c>
    </row>
    <row r="120" spans="3:4">
      <c r="C120" s="496" t="str">
        <f>'[2]UPGRADES - MALVERN RANGE'!$B$92</f>
        <v>40mm Stone waterfall ends</v>
      </c>
      <c r="D120" s="362">
        <f>'[2]UPGRADES - MALVERN RANGE'!$N$92</f>
        <v>1720</v>
      </c>
    </row>
    <row r="121" spans="3:4">
      <c r="C121" s="496" t="str">
        <f>'[2]UPGRADES - MALVERN RANGE'!$B$93</f>
        <v>Cold water point for fridge</v>
      </c>
      <c r="D121" s="362">
        <f>'[2]UPGRADES - MALVERN RANGE'!$N$93</f>
        <v>200</v>
      </c>
    </row>
    <row r="122" spans="3:4">
      <c r="C122" s="496" t="str">
        <f>'[2]UPGRADES - MALVERN RANGE'!$B$94</f>
        <v>Soft close drawers</v>
      </c>
      <c r="D122" s="362">
        <f>'[2]UPGRADES - MALVERN RANGE'!$N$94</f>
        <v>350</v>
      </c>
    </row>
    <row r="123" spans="3:4">
      <c r="C123" s="496" t="str">
        <f>'[2]UPGRADES - MALVERN RANGE'!$B$95</f>
        <v>Upgrade vegie kitchen mixer in chrome</v>
      </c>
      <c r="D123" s="362">
        <f>'[2]UPGRADES - MALVERN RANGE'!$N$95</f>
        <v>120</v>
      </c>
    </row>
    <row r="124" spans="3:4">
      <c r="C124" s="496" t="str">
        <f>'[2]UPGRADES - MALVERN RANGE'!$B$96</f>
        <v>Upgrade vegie kitchen mixer in black</v>
      </c>
      <c r="D124" s="362">
        <f>'[2]UPGRADES - MALVERN RANGE'!$N$96</f>
        <v>130</v>
      </c>
    </row>
    <row r="125" spans="3:4">
      <c r="C125" s="496" t="str">
        <f>'[2]UPGRADES - MALVERN RANGE'!$B$97</f>
        <v>Double bowl sink</v>
      </c>
      <c r="D125" s="362">
        <f>'[2]UPGRADES - MALVERN RANGE'!$N$97</f>
        <v>350</v>
      </c>
    </row>
    <row r="126" spans="3:4">
      <c r="C126" s="496" t="str">
        <f>'[2]UPGRADES - MALVERN RANGE'!$B$98</f>
        <v>Upgrade cabinetry handles</v>
      </c>
      <c r="D126" s="362">
        <f>'[2]UPGRADES - MALVERN RANGE'!$N$98</f>
        <v>150</v>
      </c>
    </row>
    <row r="127" spans="3:4">
      <c r="D127" s="515"/>
    </row>
    <row r="128" spans="3:4">
      <c r="C128" s="18" t="s">
        <v>1117</v>
      </c>
      <c r="D128" s="515"/>
    </row>
    <row r="129" spans="3:4">
      <c r="C129" s="496" t="str">
        <f>'[2]UPGRADES - MALVERN RANGE'!$B$100</f>
        <v>Upgrade tapware and accessories to Winton in chrome</v>
      </c>
      <c r="D129" s="362">
        <f>'[2]UPGRADES - MALVERN RANGE'!$N$100</f>
        <v>630</v>
      </c>
    </row>
    <row r="130" spans="3:4">
      <c r="C130" s="496" t="str">
        <f>'[2]UPGRADES - MALVERN RANGE'!$B$101</f>
        <v>Upgrade tapware and accessories to Winton in black</v>
      </c>
      <c r="D130" s="362">
        <f>'[2]UPGRADES - MALVERN RANGE'!$N$101</f>
        <v>700</v>
      </c>
    </row>
    <row r="131" spans="3:4">
      <c r="C131" s="496" t="str">
        <f>'[2]UPGRADES - MALVERN RANGE'!$B$102</f>
        <v>Dual shower heads</v>
      </c>
      <c r="D131" s="362">
        <f>'[2]UPGRADES - MALVERN RANGE'!$N$102</f>
        <v>440</v>
      </c>
    </row>
    <row r="132" spans="3:4">
      <c r="C132" s="496" t="str">
        <f>'[2]UPGRADES - MALVERN RANGE'!$B$103</f>
        <v>Upgrade vanity basins</v>
      </c>
      <c r="D132" s="362">
        <f>'[2]UPGRADES - MALVERN RANGE'!$N$103</f>
        <v>300</v>
      </c>
    </row>
    <row r="133" spans="3:4">
      <c r="C133" s="496" t="str">
        <f>'[2]UPGRADES - MALVERN RANGE'!$B$104</f>
        <v>20mm Stone benchtops</v>
      </c>
      <c r="D133" s="362">
        <f>'[2]UPGRADES - MALVERN RANGE'!$N$104</f>
        <v>900</v>
      </c>
    </row>
    <row r="134" spans="3:4">
      <c r="C134" s="496" t="str">
        <f>'[2]UPGRADES - MALVERN RANGE'!$B$105</f>
        <v>Additional towel rails</v>
      </c>
      <c r="D134" s="362">
        <f>'[2]UPGRADES - MALVERN RANGE'!$N$105</f>
        <v>160</v>
      </c>
    </row>
    <row r="135" spans="3:4">
      <c r="C135" s="496" t="str">
        <f>'[2]UPGRADES - MALVERN RANGE'!$B$106</f>
        <v>Upgrade cabinetry handles including laundry</v>
      </c>
      <c r="D135" s="362">
        <f>'[2]UPGRADES - MALVERN RANGE'!$N$106</f>
        <v>105</v>
      </c>
    </row>
    <row r="136" spans="3:4">
      <c r="D136" s="515"/>
    </row>
    <row r="137" spans="3:4">
      <c r="C137" s="18" t="s">
        <v>506</v>
      </c>
      <c r="D137" s="515"/>
    </row>
    <row r="138" spans="3:4">
      <c r="C138" s="496" t="str">
        <f>'[2]UPGRADES - MALVERN RANGE'!$B$131</f>
        <v>Downlight Pack 1: Entry &amp; Family room</v>
      </c>
      <c r="D138" s="362">
        <f>'[2]UPGRADES - MALVERN RANGE'!$N$131</f>
        <v>1550</v>
      </c>
    </row>
    <row r="139" spans="3:4">
      <c r="C139" s="496" t="str">
        <f>'[2]UPGRADES - MALVERN RANGE'!$B$132</f>
        <v>Downlight Pack 2: Whole home</v>
      </c>
      <c r="D139" s="362">
        <f>'[2]UPGRADES - MALVERN RANGE'!$N$132</f>
        <v>3050</v>
      </c>
    </row>
    <row r="140" spans="3:4">
      <c r="C140" s="496" t="str">
        <f>'[2]UPGRADES - MALVERN RANGE'!$B$133</f>
        <v>External Pack 1: Downlights to porch &amp; front eave</v>
      </c>
      <c r="D140" s="362">
        <f>'[2]UPGRADES - MALVERN RANGE'!$N$133</f>
        <v>160</v>
      </c>
    </row>
    <row r="141" spans="3:4">
      <c r="C141" s="496" t="str">
        <f>'[2]UPGRADES - MALVERN RANGE'!$B$134</f>
        <v>External Pack 2: 2 x Up/down lights, 2 downlights to outdoor living &amp; 2 floodlights</v>
      </c>
      <c r="D141" s="362">
        <f>'[2]UPGRADES - MALVERN RANGE'!$N$134</f>
        <v>1175</v>
      </c>
    </row>
    <row r="142" spans="3:4">
      <c r="C142" s="496" t="str">
        <f>'[2]UPGRADES - MALVERN RANGE'!$B$135</f>
        <v>Pendant Pack: 3 Pendants to island bench</v>
      </c>
      <c r="D142" s="362">
        <f>'[2]UPGRADES - MALVERN RANGE'!$N$135</f>
        <v>1160</v>
      </c>
    </row>
    <row r="143" spans="3:4">
      <c r="C143" s="496" t="str">
        <f>'[2]UPGRADES - MALVERN RANGE'!$B$136</f>
        <v>Fan Pack 1: Ceiling fans to all bedrooms</v>
      </c>
      <c r="D143" s="362">
        <f>'[2]UPGRADES - MALVERN RANGE'!$N$136</f>
        <v>2500</v>
      </c>
    </row>
    <row r="144" spans="3:4">
      <c r="C144" s="496" t="str">
        <f>'[2]UPGRADES - MALVERN RANGE'!$B$137</f>
        <v>Fan Pack 2: Ceiling fans to living areas</v>
      </c>
      <c r="D144" s="362">
        <f>'[2]UPGRADES - MALVERN RANGE'!$N$137</f>
        <v>1860</v>
      </c>
    </row>
    <row r="145" spans="3:4">
      <c r="C145" s="496" t="str">
        <f>'[2]UPGRADES - MALVERN RANGE'!$B$138</f>
        <v>Fan Pack 3: Ceiling fan to outdoor living</v>
      </c>
      <c r="D145" s="362">
        <f>'[2]UPGRADES - MALVERN RANGE'!$N$138</f>
        <v>620</v>
      </c>
    </row>
    <row r="146" spans="3:4">
      <c r="C146" s="496" t="str">
        <f>'[2]UPGRADES - MALVERN RANGE'!$B$139</f>
        <v>TV antenna</v>
      </c>
      <c r="D146" s="362">
        <f>'[2]UPGRADES - MALVERN RANGE'!$N$139</f>
        <v>590</v>
      </c>
    </row>
    <row r="147" spans="3:4">
      <c r="C147" s="496" t="str">
        <f>'[2]UPGRADES - MALVERN RANGE'!$B$140</f>
        <v>TV Pack: 2 x TV points &amp; 2 x double powerpoints</v>
      </c>
      <c r="D147" s="362">
        <f>'[2]UPGRADES - MALVERN RANGE'!$N$140</f>
        <v>340</v>
      </c>
    </row>
    <row r="148" spans="3:4">
      <c r="C148" s="496" t="str">
        <f>'[2]UPGRADES - MALVERN RANGE'!$B$141</f>
        <v>Powerpoint Pack 1: 5 x Double powerpoints</v>
      </c>
      <c r="D148" s="362">
        <f>'[2]UPGRADES - MALVERN RANGE'!$N$141</f>
        <v>430</v>
      </c>
    </row>
    <row r="149" spans="3:4">
      <c r="C149" s="496" t="str">
        <f>'[2]UPGRADES - MALVERN RANGE'!$B$142</f>
        <v>Powerpoint Pack 2: 10 x Double powerpoints</v>
      </c>
      <c r="D149" s="362">
        <f>'[2]UPGRADES - MALVERN RANGE'!$N$142</f>
        <v>850</v>
      </c>
    </row>
    <row r="150" spans="3:4">
      <c r="D150" s="515"/>
    </row>
    <row r="151" spans="3:4">
      <c r="C151" s="18" t="s">
        <v>1124</v>
      </c>
      <c r="D151" s="515"/>
    </row>
    <row r="152" spans="3:4">
      <c r="C152" s="496" t="str">
        <f>'[2]UPGRADES - MALVERN RANGE'!$B$122</f>
        <v>1 x Additional split system - (3.5kw)</v>
      </c>
      <c r="D152" s="362">
        <f>'[2]UPGRADES - MALVERN RANGE'!$N$122</f>
        <v>3200</v>
      </c>
    </row>
    <row r="153" spans="3:4">
      <c r="C153" s="233" t="s">
        <v>1188</v>
      </c>
      <c r="D153" s="362">
        <f>'[2]UPGRADES - MALVERN RANGE'!$N$122*2</f>
        <v>6400</v>
      </c>
    </row>
    <row r="154" spans="3:4">
      <c r="C154" s="233" t="s">
        <v>1189</v>
      </c>
      <c r="D154" s="362">
        <f>'[2]UPGRADES - MALVERN RANGE'!$N$122*3</f>
        <v>9600</v>
      </c>
    </row>
    <row r="155" spans="3:4">
      <c r="C155" s="233" t="s">
        <v>1190</v>
      </c>
      <c r="D155" s="362">
        <f>'[2]UPGRADES - MALVERN RANGE'!$N$122*4</f>
        <v>12800</v>
      </c>
    </row>
    <row r="156" spans="3:4">
      <c r="C156" s="496" t="str">
        <f>'[2]UPGRADES - MALVERN RANGE'!$B$123</f>
        <v>Upgrade to reverse cycle ducted system</v>
      </c>
      <c r="D156" s="362">
        <f>'[2]UPGRADES - MALVERN RANGE'!$N$123</f>
        <v>11200</v>
      </c>
    </row>
    <row r="157" spans="3:4">
      <c r="D157" s="515"/>
    </row>
    <row r="158" spans="3:4">
      <c r="C158" s="18" t="s">
        <v>1125</v>
      </c>
      <c r="D158" s="515"/>
    </row>
    <row r="159" spans="3:4">
      <c r="C159" s="496" t="str">
        <f>'[2]UPGRADES - MALVERN RANGE'!$B$125</f>
        <v>Upgrade carpet</v>
      </c>
      <c r="D159" s="362">
        <f>'[2]UPGRADES - MALVERN RANGE'!$N$125</f>
        <v>500</v>
      </c>
    </row>
    <row r="160" spans="3:4">
      <c r="C160" s="496" t="str">
        <f>'[2]UPGRADES - MALVERN RANGE'!$B$126</f>
        <v>Upgrade tiles to wet area floor &amp; walls</v>
      </c>
      <c r="D160" s="362">
        <f>'[2]UPGRADES - MALVERN RANGE'!$N$126</f>
        <v>600</v>
      </c>
    </row>
    <row r="161" spans="3:6">
      <c r="C161" s="496" t="str">
        <f>'[2]UPGRADES - MALVERN RANGE'!$B$127</f>
        <v>Upgrade tiles to main area floors</v>
      </c>
      <c r="D161" s="362">
        <f>'[2]UPGRADES - MALVERN RANGE'!$N$127</f>
        <v>1500</v>
      </c>
    </row>
    <row r="162" spans="3:6">
      <c r="C162" s="496" t="str">
        <f>'[2]UPGRADES - MALVERN RANGE'!$B$128</f>
        <v>Upgrade tiles to kitchen &amp; laundry splashback</v>
      </c>
      <c r="D162" s="362">
        <f>'[2]UPGRADES - MALVERN RANGE'!$N$128</f>
        <v>300</v>
      </c>
      <c r="F162" t="s">
        <v>1126</v>
      </c>
    </row>
    <row r="163" spans="3:6">
      <c r="C163" s="233" t="s">
        <v>1194</v>
      </c>
      <c r="D163" s="362">
        <f>'[2]UPGRADES - MALVERN RANGE'!$N$128+100</f>
        <v>400</v>
      </c>
    </row>
    <row r="164" spans="3:6">
      <c r="C164" s="233" t="s">
        <v>1193</v>
      </c>
      <c r="D164" s="362">
        <f>'[2]UPGRADES - MALVERN RANGE'!$N$128+200</f>
        <v>500</v>
      </c>
    </row>
    <row r="165" spans="3:6">
      <c r="C165" s="496" t="str">
        <f>'[2]UPGRADES - MALVERN RANGE'!$B$129</f>
        <v>Upgrade to vinyl</v>
      </c>
      <c r="D165" s="362">
        <f>'[2]UPGRADES - MALVERN RANGE'!$N$129</f>
        <v>4300</v>
      </c>
    </row>
    <row r="167" spans="3:6">
      <c r="C167" s="18" t="s">
        <v>1215</v>
      </c>
    </row>
    <row r="169" spans="3:6">
      <c r="C169" s="496" t="str">
        <f>'[2]UPGRADES - MALVERN RANGE'!$B$108</f>
        <v>ENSUITE 2 - 20mm Stone benchtops</v>
      </c>
      <c r="D169" s="362">
        <f>'[2]UPGRADES - MALVERN RANGE'!$N$108</f>
        <v>450</v>
      </c>
    </row>
    <row r="170" spans="3:6">
      <c r="C170" s="496" t="str">
        <f>'[2]UPGRADES - MALVERN RANGE'!$B$109</f>
        <v>ENSUITE 2 - Tiled recess shelves</v>
      </c>
      <c r="D170" s="362">
        <f>'[2]UPGRADES - MALVERN RANGE'!$N$109</f>
        <v>400</v>
      </c>
    </row>
    <row r="171" spans="3:6">
      <c r="C171" s="496" t="str">
        <f>'[2]UPGRADES - MALVERN RANGE'!$B$110</f>
        <v>ENSUITE 2 - Bank of 3 drawers to vanities</v>
      </c>
      <c r="D171" s="362">
        <f>'[2]UPGRADES - MALVERN RANGE'!$N$110</f>
        <v>330</v>
      </c>
    </row>
    <row r="172" spans="3:6">
      <c r="C172" s="496" t="str">
        <f>'[2]UPGRADES - MALVERN RANGE'!$B$111</f>
        <v>ENSUITE 2 - Bank of 2 drawers to vanities in lieu of doors</v>
      </c>
      <c r="D172" s="362">
        <f>'[2]UPGRADES - MALVERN RANGE'!$N$111</f>
        <v>330</v>
      </c>
    </row>
    <row r="173" spans="3:6">
      <c r="C173" s="496" t="str">
        <f>'[2]UPGRADES - MALVERN RANGE'!$B$112</f>
        <v>ENSUITE 2 - Dual shower heads</v>
      </c>
      <c r="D173" s="362">
        <f>'[2]UPGRADES - MALVERN RANGE'!$N$112</f>
        <v>220</v>
      </c>
    </row>
    <row r="174" spans="3:6">
      <c r="C174" s="496" t="str">
        <f>'[2]UPGRADES - MALVERN RANGE'!$B$113</f>
        <v>ENSUITE 2 - Additional towel rails</v>
      </c>
      <c r="D174" s="362">
        <f>'[2]UPGRADES - MALVERN RANGE'!$N$113</f>
        <v>80</v>
      </c>
    </row>
    <row r="175" spans="3:6">
      <c r="C175" s="496" t="str">
        <f>'[2]UPGRADES - MALVERN RANGE'!$B$114</f>
        <v>ENSUITE 2 - Extend tiles to 2m high on vanity wall</v>
      </c>
      <c r="D175" s="362">
        <f>'[2]UPGRADES - MALVERN RANGE'!$N$114</f>
        <v>800</v>
      </c>
    </row>
    <row r="176" spans="3:6">
      <c r="C176" s="496" t="str">
        <f>'[2]UPGRADES - MALVERN RANGE'!$B$115</f>
        <v>ENSUITE 2 - Extend tiles to 2m high on remaining three walls</v>
      </c>
      <c r="D176" s="362">
        <f>'[2]UPGRADES - MALVERN RANGE'!$N$115</f>
        <v>1040</v>
      </c>
    </row>
    <row r="177" spans="3:4">
      <c r="C177" s="496" t="str">
        <f>'[2]UPGRADES - MALVERN RANGE'!$B$116</f>
        <v>ENSUITE 2 - Upgrade tapware and accessories to Winton in chrome</v>
      </c>
      <c r="D177" s="362">
        <f>'[2]UPGRADES - MALVERN RANGE'!$N$116</f>
        <v>315</v>
      </c>
    </row>
    <row r="178" spans="3:4">
      <c r="C178" s="496" t="str">
        <f>'[2]UPGRADES - MALVERN RANGE'!$B$117</f>
        <v>ENSUITE 2 - Upgrade tapware and accessories to Winton in black</v>
      </c>
      <c r="D178" s="362">
        <f>'[2]UPGRADES - MALVERN RANGE'!$N$117</f>
        <v>350</v>
      </c>
    </row>
    <row r="179" spans="3:4">
      <c r="C179" s="496" t="str">
        <f>'[2]UPGRADES - MALVERN RANGE'!$B$118</f>
        <v>ENSUITE 2 - Upgrade vanity basins</v>
      </c>
      <c r="D179" s="362">
        <f>'[2]UPGRADES - MALVERN RANGE'!$N$118</f>
        <v>100</v>
      </c>
    </row>
    <row r="180" spans="3:4">
      <c r="C180" s="496" t="str">
        <f>'[2]UPGRADES - MALVERN RANGE'!$B$119</f>
        <v>ENSUITE 2 - Rectangle with rounded edge mirrors</v>
      </c>
      <c r="D180" s="362">
        <f>'[2]UPGRADES - MALVERN RANGE'!$N$119</f>
        <v>140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7AC0-A15B-4D15-84C7-9E2624FACB4C}">
  <sheetPr codeName="Sheet19"/>
  <dimension ref="B1:G26"/>
  <sheetViews>
    <sheetView workbookViewId="0">
      <selection activeCell="L20" sqref="L20"/>
    </sheetView>
  </sheetViews>
  <sheetFormatPr defaultColWidth="9.109375" defaultRowHeight="14.4"/>
  <cols>
    <col min="1" max="1" width="9.109375" style="323"/>
    <col min="2" max="2" width="9.109375" style="329"/>
    <col min="3" max="3" width="52.5546875" style="330" customWidth="1"/>
    <col min="4" max="4" width="10.5546875" style="323" bestFit="1" customWidth="1"/>
    <col min="5" max="5" width="11.33203125" style="323" bestFit="1" customWidth="1"/>
    <col min="6" max="6" width="12.109375" style="323" bestFit="1" customWidth="1"/>
    <col min="7" max="16384" width="9.109375" style="323"/>
  </cols>
  <sheetData>
    <row r="1" spans="2:7" customFormat="1"/>
    <row r="2" spans="2:7" customFormat="1">
      <c r="B2" s="331" t="s">
        <v>501</v>
      </c>
    </row>
    <row r="3" spans="2:7" customFormat="1"/>
    <row r="4" spans="2:7">
      <c r="B4" s="232"/>
      <c r="C4" s="332" t="s">
        <v>510</v>
      </c>
      <c r="D4"/>
      <c r="E4"/>
      <c r="F4"/>
    </row>
    <row r="5" spans="2:7" ht="15" thickBot="1">
      <c r="B5" s="332" t="s">
        <v>112</v>
      </c>
      <c r="C5" s="333" t="s">
        <v>227</v>
      </c>
      <c r="D5" s="334" t="s">
        <v>502</v>
      </c>
      <c r="E5" s="335" t="s">
        <v>503</v>
      </c>
      <c r="F5" s="334" t="s">
        <v>505</v>
      </c>
      <c r="G5" s="336"/>
    </row>
    <row r="6" spans="2:7">
      <c r="B6" s="324"/>
      <c r="C6" s="337" t="s">
        <v>511</v>
      </c>
      <c r="D6" s="227"/>
      <c r="E6" s="227"/>
      <c r="F6" s="229"/>
    </row>
    <row r="7" spans="2:7" ht="28.8">
      <c r="B7" s="325"/>
      <c r="C7" s="13" t="s">
        <v>512</v>
      </c>
      <c r="D7" s="20" t="s">
        <v>210</v>
      </c>
      <c r="F7" s="326"/>
    </row>
    <row r="8" spans="2:7" ht="144">
      <c r="B8" s="325"/>
      <c r="C8" s="13" t="s">
        <v>513</v>
      </c>
      <c r="D8" s="20" t="s">
        <v>210</v>
      </c>
      <c r="F8" s="326"/>
    </row>
    <row r="9" spans="2:7">
      <c r="B9" s="325"/>
      <c r="C9" s="13"/>
      <c r="D9"/>
      <c r="E9" s="235" t="s">
        <v>504</v>
      </c>
      <c r="F9" s="228">
        <f>+F8+F7</f>
        <v>0</v>
      </c>
    </row>
    <row r="10" spans="2:7">
      <c r="B10" s="325"/>
      <c r="C10" s="338" t="s">
        <v>514</v>
      </c>
      <c r="D10"/>
      <c r="E10"/>
      <c r="F10" s="326"/>
    </row>
    <row r="11" spans="2:7">
      <c r="B11" s="325" t="s">
        <v>121</v>
      </c>
      <c r="C11" s="13" t="s">
        <v>515</v>
      </c>
      <c r="D11" s="230">
        <v>35</v>
      </c>
      <c r="F11" s="224">
        <f>+CEILING((E11*D11),5)</f>
        <v>0</v>
      </c>
    </row>
    <row r="12" spans="2:7">
      <c r="B12" s="325" t="s">
        <v>121</v>
      </c>
      <c r="C12" s="13" t="s">
        <v>996</v>
      </c>
      <c r="D12" s="230">
        <v>50</v>
      </c>
      <c r="F12" s="224">
        <f t="shared" ref="F12:F18" si="0">+CEILING((E12*D12),5)</f>
        <v>0</v>
      </c>
    </row>
    <row r="13" spans="2:7">
      <c r="B13" s="325" t="s">
        <v>124</v>
      </c>
      <c r="C13" s="13" t="s">
        <v>516</v>
      </c>
      <c r="D13" s="230">
        <v>140</v>
      </c>
      <c r="F13" s="224">
        <f t="shared" si="0"/>
        <v>0</v>
      </c>
    </row>
    <row r="14" spans="2:7">
      <c r="B14" s="325" t="s">
        <v>124</v>
      </c>
      <c r="C14" s="13" t="s">
        <v>517</v>
      </c>
      <c r="D14" s="230">
        <v>210</v>
      </c>
      <c r="F14" s="224">
        <f t="shared" si="0"/>
        <v>0</v>
      </c>
    </row>
    <row r="15" spans="2:7">
      <c r="B15" s="325" t="s">
        <v>121</v>
      </c>
      <c r="C15" s="13" t="s">
        <v>518</v>
      </c>
      <c r="D15" s="230">
        <v>72</v>
      </c>
      <c r="F15" s="224">
        <f t="shared" si="0"/>
        <v>0</v>
      </c>
    </row>
    <row r="16" spans="2:7" ht="28.8">
      <c r="B16" s="325" t="s">
        <v>121</v>
      </c>
      <c r="C16" s="13" t="s">
        <v>519</v>
      </c>
      <c r="D16" s="230">
        <v>50</v>
      </c>
      <c r="F16" s="224">
        <f t="shared" si="0"/>
        <v>0</v>
      </c>
    </row>
    <row r="17" spans="2:6">
      <c r="B17" s="325" t="s">
        <v>121</v>
      </c>
      <c r="C17" s="13" t="s">
        <v>520</v>
      </c>
      <c r="D17" s="230">
        <v>27</v>
      </c>
      <c r="F17" s="224">
        <f t="shared" si="0"/>
        <v>0</v>
      </c>
    </row>
    <row r="18" spans="2:6" ht="28.8">
      <c r="B18" s="325" t="s">
        <v>124</v>
      </c>
      <c r="C18" s="13" t="s">
        <v>885</v>
      </c>
      <c r="D18" s="230">
        <v>1000</v>
      </c>
      <c r="F18" s="224">
        <f t="shared" si="0"/>
        <v>0</v>
      </c>
    </row>
    <row r="19" spans="2:6">
      <c r="B19" s="325"/>
      <c r="C19" s="13"/>
      <c r="D19"/>
      <c r="E19" s="235" t="s">
        <v>504</v>
      </c>
      <c r="F19" s="228">
        <f>SUM(F11:F17)</f>
        <v>0</v>
      </c>
    </row>
    <row r="20" spans="2:6">
      <c r="B20" s="325"/>
      <c r="C20" s="338" t="s">
        <v>521</v>
      </c>
      <c r="D20"/>
      <c r="E20"/>
      <c r="F20" s="326"/>
    </row>
    <row r="21" spans="2:6">
      <c r="B21" s="325" t="s">
        <v>121</v>
      </c>
      <c r="C21" s="13" t="s">
        <v>522</v>
      </c>
      <c r="D21" s="230">
        <v>13.5</v>
      </c>
      <c r="F21" s="224">
        <f t="shared" ref="F21" si="1">+CEILING((E21*D21),5)</f>
        <v>0</v>
      </c>
    </row>
    <row r="22" spans="2:6">
      <c r="B22" s="325"/>
      <c r="C22" s="13"/>
      <c r="D22"/>
      <c r="E22" s="235" t="s">
        <v>504</v>
      </c>
      <c r="F22" s="228">
        <f>+F21</f>
        <v>0</v>
      </c>
    </row>
    <row r="23" spans="2:6">
      <c r="B23" s="325"/>
      <c r="C23" s="338" t="s">
        <v>523</v>
      </c>
      <c r="D23"/>
      <c r="E23"/>
      <c r="F23" s="326"/>
    </row>
    <row r="24" spans="2:6">
      <c r="B24" s="325" t="s">
        <v>524</v>
      </c>
      <c r="C24" s="13" t="s">
        <v>525</v>
      </c>
      <c r="D24" s="230">
        <v>2200</v>
      </c>
      <c r="F24" s="224">
        <f t="shared" ref="F24" si="2">+CEILING((E24*D24),5)</f>
        <v>0</v>
      </c>
    </row>
    <row r="25" spans="2:6">
      <c r="B25" s="325"/>
      <c r="C25" s="13"/>
      <c r="D25"/>
      <c r="E25" s="235" t="s">
        <v>504</v>
      </c>
      <c r="F25" s="228">
        <f>+F24</f>
        <v>0</v>
      </c>
    </row>
    <row r="26" spans="2:6" ht="15" thickBot="1">
      <c r="B26" s="327"/>
      <c r="C26" s="328"/>
      <c r="D26" s="226"/>
      <c r="E26" s="231" t="s">
        <v>526</v>
      </c>
      <c r="F26" s="234">
        <f>+F25+F22+F19+F9</f>
        <v>0</v>
      </c>
    </row>
  </sheetData>
  <sheetProtection algorithmName="SHA-512" hashValue="xPRehdhc3/k8ZFqnsSltInvcKUI6wOlghb5rk/u2UUPh9pqwX3OZJPCyYUaX9uH42dXNwVFo/QO6/V9kkzuhog==" saltValue="lrDAQ7BGHsTor2nQ29XG9g==" spinCount="100000" sheet="1" objects="1" scenarios="1"/>
  <pageMargins left="0.7" right="0.7" top="0.75" bottom="0.75" header="0.3" footer="0.3"/>
  <pageSetup paperSize="9" orientation="portrait" horizontalDpi="120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C148A-EA7D-40C2-9A0B-03ED3BB368C2}">
  <dimension ref="A1:L13"/>
  <sheetViews>
    <sheetView workbookViewId="0">
      <selection activeCell="P25" sqref="P25"/>
    </sheetView>
  </sheetViews>
  <sheetFormatPr defaultColWidth="9.109375" defaultRowHeight="14.4"/>
  <cols>
    <col min="1" max="1" width="9.109375" style="323"/>
    <col min="2" max="2" width="11.88671875" style="329" customWidth="1"/>
    <col min="3" max="3" width="60.6640625" style="330" customWidth="1"/>
    <col min="4" max="4" width="10.5546875" style="323" bestFit="1" customWidth="1"/>
    <col min="5" max="5" width="11.33203125" style="323" bestFit="1" customWidth="1"/>
    <col min="6" max="6" width="12.109375" style="323" bestFit="1" customWidth="1"/>
    <col min="7" max="16384" width="9.109375" style="323"/>
  </cols>
  <sheetData>
    <row r="1" spans="1:12" customFormat="1"/>
    <row r="2" spans="1:12" customFormat="1">
      <c r="B2" s="331" t="s">
        <v>1196</v>
      </c>
    </row>
    <row r="3" spans="1:12" customFormat="1"/>
    <row r="4" spans="1:12">
      <c r="B4" s="232"/>
      <c r="C4" s="332" t="s">
        <v>510</v>
      </c>
      <c r="D4"/>
      <c r="E4"/>
      <c r="F4"/>
    </row>
    <row r="5" spans="1:12" ht="15" thickBot="1">
      <c r="B5" s="332" t="s">
        <v>112</v>
      </c>
      <c r="C5" s="333" t="s">
        <v>227</v>
      </c>
      <c r="D5" s="334" t="s">
        <v>502</v>
      </c>
      <c r="E5" s="335" t="s">
        <v>503</v>
      </c>
      <c r="F5" s="334" t="s">
        <v>505</v>
      </c>
      <c r="G5" s="336"/>
    </row>
    <row r="6" spans="1:12">
      <c r="B6" s="324"/>
      <c r="C6" s="337" t="s">
        <v>511</v>
      </c>
      <c r="D6" s="227"/>
      <c r="E6" s="227"/>
      <c r="F6" s="229"/>
    </row>
    <row r="7" spans="1:12">
      <c r="B7" s="325" t="s">
        <v>1197</v>
      </c>
      <c r="C7" s="499" t="s">
        <v>1203</v>
      </c>
      <c r="D7" s="230">
        <v>1600</v>
      </c>
      <c r="F7" s="326">
        <f>+E7*D7</f>
        <v>0</v>
      </c>
      <c r="H7" s="509" t="s">
        <v>1206</v>
      </c>
      <c r="I7" s="509"/>
      <c r="J7" s="509"/>
      <c r="K7" s="509"/>
      <c r="L7" s="509"/>
    </row>
    <row r="8" spans="1:12">
      <c r="B8" s="325" t="s">
        <v>124</v>
      </c>
      <c r="C8" s="13" t="s">
        <v>1198</v>
      </c>
      <c r="D8" s="230" t="s">
        <v>1200</v>
      </c>
      <c r="F8" s="224"/>
    </row>
    <row r="9" spans="1:12" ht="15" customHeight="1">
      <c r="B9" s="325" t="s">
        <v>124</v>
      </c>
      <c r="C9" s="13" t="s">
        <v>1199</v>
      </c>
      <c r="D9" s="230" t="s">
        <v>1200</v>
      </c>
      <c r="F9" s="224"/>
    </row>
    <row r="10" spans="1:12">
      <c r="A10" s="507"/>
      <c r="B10" s="325" t="s">
        <v>124</v>
      </c>
      <c r="C10" s="330" t="s">
        <v>1204</v>
      </c>
      <c r="D10" s="508">
        <v>450</v>
      </c>
      <c r="F10" s="326">
        <f>+E10*D10</f>
        <v>0</v>
      </c>
    </row>
    <row r="11" spans="1:12">
      <c r="A11" s="507"/>
      <c r="C11" s="330" t="s">
        <v>1205</v>
      </c>
      <c r="D11" s="508">
        <v>5350</v>
      </c>
      <c r="F11" s="326">
        <f>+E11*D11</f>
        <v>0</v>
      </c>
    </row>
    <row r="12" spans="1:12">
      <c r="B12" s="325"/>
      <c r="C12" s="13"/>
      <c r="D12"/>
      <c r="E12" s="235" t="s">
        <v>504</v>
      </c>
      <c r="F12" s="228">
        <f>SUM(F7:F11)</f>
        <v>0</v>
      </c>
    </row>
    <row r="13" spans="1:12" ht="15" thickBot="1">
      <c r="B13" s="327"/>
      <c r="C13" s="328"/>
      <c r="D13" s="226"/>
      <c r="E13" s="231" t="s">
        <v>526</v>
      </c>
      <c r="F13" s="234">
        <f>+F12</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62B982-AE4A-4E0F-A237-3AF64E88BA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8</vt:i4>
      </vt:variant>
    </vt:vector>
  </HeadingPairs>
  <TitlesOfParts>
    <vt:vector size="32" baseType="lpstr">
      <vt:lpstr>Fast Key</vt:lpstr>
      <vt:lpstr>Landscaping</vt:lpstr>
      <vt:lpstr>Shepparton</vt:lpstr>
      <vt:lpstr>Investor</vt:lpstr>
      <vt:lpstr>Echuca</vt:lpstr>
      <vt:lpstr>Value Packs</vt:lpstr>
      <vt:lpstr>Sandown 32 Display</vt:lpstr>
      <vt:lpstr>Travel Working</vt:lpstr>
      <vt:lpstr>Estimator</vt:lpstr>
      <vt:lpstr>Facade Pricing</vt:lpstr>
      <vt:lpstr>1.HOUSE PRICE</vt:lpstr>
      <vt:lpstr>2.TRAVEL</vt:lpstr>
      <vt:lpstr>3.SALES ESTIMATE</vt:lpstr>
      <vt:lpstr>Inglewood 42 Display</vt:lpstr>
      <vt:lpstr>ASHWOOD 17</vt:lpstr>
      <vt:lpstr>ASHWOOD 20</vt:lpstr>
      <vt:lpstr>BYRON 19</vt:lpstr>
      <vt:lpstr>BYRON 22A</vt:lpstr>
      <vt:lpstr>BYRON 22B</vt:lpstr>
      <vt:lpstr>MALVERN 20</vt:lpstr>
      <vt:lpstr>MALVERN 23</vt:lpstr>
      <vt:lpstr>MALVERN 25</vt:lpstr>
      <vt:lpstr>Site Costs</vt:lpstr>
      <vt:lpstr>Gas Line</vt:lpstr>
      <vt:lpstr>'3.SALES ESTIMATE'!Print_Area</vt:lpstr>
      <vt:lpstr>Echuca!Print_Area</vt:lpstr>
      <vt:lpstr>'Facade Pricing'!Print_Area</vt:lpstr>
      <vt:lpstr>'Inglewood 42 Display'!Print_Area</vt:lpstr>
      <vt:lpstr>Investor!Print_Area</vt:lpstr>
      <vt:lpstr>'Sandown 32 Display'!Print_Area</vt:lpstr>
      <vt:lpstr>Shepparton!Print_Area</vt:lpstr>
      <vt:lpstr>'Value Packs'!Print_Area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Estimator</dc:creator>
  <cp:lastModifiedBy>Courtney McHugh</cp:lastModifiedBy>
  <cp:lastPrinted>2025-09-09T22:40:46Z</cp:lastPrinted>
  <dcterms:created xsi:type="dcterms:W3CDTF">2015-06-05T18:17:20Z</dcterms:created>
  <dcterms:modified xsi:type="dcterms:W3CDTF">2026-01-15T05:39:31Z</dcterms:modified>
</cp:coreProperties>
</file>